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90" tabRatio="601" activeTab="1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</sheets>
  <definedNames>
    <definedName name="_xlnm.Print_Area" localSheetId="0">'P1'!$A$1:$Q$48</definedName>
    <definedName name="_xlnm.Print_Area" localSheetId="1">'P2'!$A$1:$L$59</definedName>
    <definedName name="_xlnm.Print_Area" localSheetId="2">'P3'!$A$1:$O$46</definedName>
    <definedName name="_xlnm.Print_Area" localSheetId="3">'P4'!$A$1:$I$57</definedName>
    <definedName name="_xlnm.Print_Area" localSheetId="4">'P5'!$A$1:$K$47</definedName>
    <definedName name="_xlnm.Print_Area" localSheetId="5">'P6'!$A$1:$J$50</definedName>
    <definedName name="_xlnm.Print_Area" localSheetId="6">'P7'!$A$1:$P$46</definedName>
    <definedName name="_xlnm.Print_Area" localSheetId="7">'P8'!$A$1:$L$64</definedName>
  </definedNames>
  <calcPr fullCalcOnLoad="1"/>
</workbook>
</file>

<file path=xl/sharedStrings.xml><?xml version="1.0" encoding="utf-8"?>
<sst xmlns="http://schemas.openxmlformats.org/spreadsheetml/2006/main" count="393" uniqueCount="146">
  <si>
    <t xml:space="preserve"> </t>
  </si>
  <si>
    <t>%</t>
  </si>
  <si>
    <t>سنة</t>
  </si>
  <si>
    <t>جانفي</t>
  </si>
  <si>
    <t>فيفري</t>
  </si>
  <si>
    <t>مارس</t>
  </si>
  <si>
    <t>أفريل</t>
  </si>
  <si>
    <t>ماي</t>
  </si>
  <si>
    <t>جوان</t>
  </si>
  <si>
    <t xml:space="preserve">جويلية </t>
  </si>
  <si>
    <t>أوت</t>
  </si>
  <si>
    <t>سبتمبر</t>
  </si>
  <si>
    <t>أكتوبر</t>
  </si>
  <si>
    <t>نوفمبر</t>
  </si>
  <si>
    <t>السنة</t>
  </si>
  <si>
    <t>ديسمبر</t>
  </si>
  <si>
    <t>الجمهورية التونسية</t>
  </si>
  <si>
    <t xml:space="preserve">وكالة النهوض  </t>
  </si>
  <si>
    <t>بالإستثمارات الفلاحية</t>
  </si>
  <si>
    <t>الولايات</t>
  </si>
  <si>
    <t>المجموع العام</t>
  </si>
  <si>
    <t>الفلاحية</t>
  </si>
  <si>
    <t>المجموع</t>
  </si>
  <si>
    <t>الجمهورة التونسية</t>
  </si>
  <si>
    <t>وكالة النهوض بالإستثمارات</t>
  </si>
  <si>
    <t>المبلغ</t>
  </si>
  <si>
    <t>التجهيزات</t>
  </si>
  <si>
    <t>المواشي</t>
  </si>
  <si>
    <t>الغراسات</t>
  </si>
  <si>
    <t>غير ذلك من المصاريف</t>
  </si>
  <si>
    <t>المال المتداول</t>
  </si>
  <si>
    <t>التمويل الذاتي</t>
  </si>
  <si>
    <t>منح الإستثمار</t>
  </si>
  <si>
    <t>إعتماد الإستثمار</t>
  </si>
  <si>
    <t>قروض</t>
  </si>
  <si>
    <t>العدد</t>
  </si>
  <si>
    <t>المنح</t>
  </si>
  <si>
    <t>الإستثمارات</t>
  </si>
  <si>
    <t xml:space="preserve">عمليات الإستثمار  المتمتعة </t>
  </si>
  <si>
    <t>نسبة التطور</t>
  </si>
  <si>
    <t>الإستثمارات (1000 دينارا)</t>
  </si>
  <si>
    <t xml:space="preserve">عدد العمليات </t>
  </si>
  <si>
    <t>مواطن الشغل</t>
  </si>
  <si>
    <t>عدد القروض</t>
  </si>
  <si>
    <t>مبلغ القروض (1000 دينارا)</t>
  </si>
  <si>
    <t xml:space="preserve">عمليات الإستثمار المتحصلة على الإمتيازات المالية </t>
  </si>
  <si>
    <t>توزيع حسب المناطق</t>
  </si>
  <si>
    <t xml:space="preserve">* منها </t>
  </si>
  <si>
    <t>شركات إحياء</t>
  </si>
  <si>
    <t>شركات مختلطة</t>
  </si>
  <si>
    <t>توزيع حسب المناطق والأنشطة</t>
  </si>
  <si>
    <t xml:space="preserve">المجموع </t>
  </si>
  <si>
    <t>النسبة</t>
  </si>
  <si>
    <t>المنح/الإستثمار</t>
  </si>
  <si>
    <t>تطور (%)</t>
  </si>
  <si>
    <t>وكالة النهوض بالاستثمارات</t>
  </si>
  <si>
    <t>العناصر</t>
  </si>
  <si>
    <t>مبلغ القروض</t>
  </si>
  <si>
    <t xml:space="preserve"> الجمهورية التونسية</t>
  </si>
  <si>
    <t xml:space="preserve">   القروض االعقارية</t>
  </si>
  <si>
    <t>مساحة  (هك)</t>
  </si>
  <si>
    <t>باعثون شبان</t>
  </si>
  <si>
    <t>توزيع الإستثمارات والمنح حسب الجهات</t>
  </si>
  <si>
    <t>توزيع الإستثمارات حسب الجهات</t>
  </si>
  <si>
    <t>توزيع حسب الجهات والأنشطة</t>
  </si>
  <si>
    <t>مواطنون بالخارج</t>
  </si>
  <si>
    <t xml:space="preserve">حوصلة حول إحصائيات الإستثمارات الفلاحية </t>
  </si>
  <si>
    <t>قيمة شراء الأراضي</t>
  </si>
  <si>
    <t xml:space="preserve"> الوحدة: ألف دينار</t>
  </si>
  <si>
    <t>تونس</t>
  </si>
  <si>
    <t>أريانة</t>
  </si>
  <si>
    <t>بن عروس</t>
  </si>
  <si>
    <t>نابل</t>
  </si>
  <si>
    <t>زغوان</t>
  </si>
  <si>
    <t>بنزرت</t>
  </si>
  <si>
    <t>منوبة</t>
  </si>
  <si>
    <t>الشمال الشرقي</t>
  </si>
  <si>
    <t>باجة</t>
  </si>
  <si>
    <t>جندوبة</t>
  </si>
  <si>
    <t>الكاف</t>
  </si>
  <si>
    <t>سليانة</t>
  </si>
  <si>
    <t>الشمال الغربي</t>
  </si>
  <si>
    <t>القيروان</t>
  </si>
  <si>
    <t>القصرين</t>
  </si>
  <si>
    <t>سيدي بوزيد</t>
  </si>
  <si>
    <t>الوسط الغربي</t>
  </si>
  <si>
    <t>سوسة</t>
  </si>
  <si>
    <t>المنستير</t>
  </si>
  <si>
    <t>المهدية</t>
  </si>
  <si>
    <t>صفاقس</t>
  </si>
  <si>
    <t>الوسط الشرقي</t>
  </si>
  <si>
    <t>قفصة</t>
  </si>
  <si>
    <t>توزر</t>
  </si>
  <si>
    <t>قبلي</t>
  </si>
  <si>
    <t>الجنوب الغربي</t>
  </si>
  <si>
    <t>قابس</t>
  </si>
  <si>
    <t>مدنين</t>
  </si>
  <si>
    <t>تطاوين</t>
  </si>
  <si>
    <t>الجنوب الشرقي</t>
  </si>
  <si>
    <t>الوحدة: مليون دينار</t>
  </si>
  <si>
    <t>المشاريع ذات المساهمات الأجنبية</t>
  </si>
  <si>
    <t>مــواطن الشغل</t>
  </si>
  <si>
    <t xml:space="preserve">      العــدد</t>
  </si>
  <si>
    <t>العــنــاصر</t>
  </si>
  <si>
    <t>إحداثات</t>
  </si>
  <si>
    <t>توسعة و تجديد</t>
  </si>
  <si>
    <t>التطور الشهري لمجموع الإستثمارات  المصادق عليها للحصول</t>
  </si>
  <si>
    <t xml:space="preserve">عمليات الإستثمار المصادق عليها للحصول على الإمتيازات المالية </t>
  </si>
  <si>
    <t xml:space="preserve">قيمة الإستثمارات المصادق عليها للحصول على الإمتيازات المالية </t>
  </si>
  <si>
    <t xml:space="preserve">  البناءات</t>
  </si>
  <si>
    <t xml:space="preserve">التهيئة  </t>
  </si>
  <si>
    <t xml:space="preserve">عمليات الإستثمار المتحصلة على وصل تصريح بالإستثمار </t>
  </si>
  <si>
    <t>قيمة الإستثمارات المتحصلة على وصل تصريح بالإستثمار</t>
  </si>
  <si>
    <t>عمليات الإستثمار المصادق عليها للحصول على الإمتيازات المالية</t>
  </si>
  <si>
    <t>ألف دينار</t>
  </si>
  <si>
    <t>المساحة هك</t>
  </si>
  <si>
    <t xml:space="preserve"> الشمال</t>
  </si>
  <si>
    <t xml:space="preserve"> الوسط</t>
  </si>
  <si>
    <t xml:space="preserve"> الجنوب</t>
  </si>
  <si>
    <t>نسبة التطور %</t>
  </si>
  <si>
    <t xml:space="preserve">القروض العقارية المصادق عليها  من طرف </t>
  </si>
  <si>
    <t xml:space="preserve">لجنة إسناد الإمتيازات </t>
  </si>
  <si>
    <t>عمليات الإستثمار المتحصلة على وصل  تصريح بالإستثمار</t>
  </si>
  <si>
    <t>التطور %</t>
  </si>
  <si>
    <t>التصاريح بالإستثمار</t>
  </si>
  <si>
    <t>فلاحة</t>
  </si>
  <si>
    <t>صيد بحري</t>
  </si>
  <si>
    <t>تربية أحياء مائية</t>
  </si>
  <si>
    <t>خدمات فلاحية</t>
  </si>
  <si>
    <t>التحويل الأولي المندمج</t>
  </si>
  <si>
    <t>وزارة الفلاحة والموارد المائية والصيد البحري</t>
  </si>
  <si>
    <t xml:space="preserve"> وزارة الفلاحة والموارد المائية والصيد البحري</t>
  </si>
  <si>
    <t>نساء باعثات</t>
  </si>
  <si>
    <t xml:space="preserve">بامتيازات قانون الإستثمار </t>
  </si>
  <si>
    <t xml:space="preserve"> المتمتعة بإمتيازات قانون الإستثمار</t>
  </si>
  <si>
    <t>على الإمتيازات المالية</t>
  </si>
  <si>
    <t>تطور النسبة  في هيكلة الإستثمار</t>
  </si>
  <si>
    <t>2022/2020</t>
  </si>
  <si>
    <t>2022/2021</t>
  </si>
  <si>
    <t>المصادقات</t>
  </si>
  <si>
    <t>المنح  (1000 دينارا)</t>
  </si>
  <si>
    <t>المعدات المتنقلة</t>
  </si>
  <si>
    <t xml:space="preserve"> إلى غاية شهر نوفمبر</t>
  </si>
  <si>
    <t>توزيع  حسب المكونات الأساسية  إلى غاية شهر نوفمبر</t>
  </si>
  <si>
    <t>توزيع  حسب مصادر التمويل   إلى غاية شهر نوفمبر</t>
  </si>
  <si>
    <t>30 نوفمبر 2022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</si>
</sst>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د.ت.&quot;;\-#,##0\ &quot;د.ت.&quot;"/>
    <numFmt numFmtId="165" formatCode="#,##0\ &quot;د.ت.&quot;;[Red]\-#,##0\ &quot;د.ت.&quot;"/>
    <numFmt numFmtId="166" formatCode="#,##0.00\ &quot;د.ت.&quot;;\-#,##0.00\ &quot;د.ت.&quot;"/>
    <numFmt numFmtId="167" formatCode="#,##0.00\ &quot;د.ت.&quot;;[Red]\-#,##0.00\ &quot;د.ت.&quot;"/>
    <numFmt numFmtId="168" formatCode="_-* #,##0\ &quot;د.ت.&quot;_-;\-* #,##0\ &quot;د.ت.&quot;_-;_-* &quot;-&quot;\ &quot;د.ت.&quot;_-;_-@_-"/>
    <numFmt numFmtId="169" formatCode="_-* #,##0\ _د_._ت_._‏_-;\-* #,##0\ _د_._ت_._‏_-;_-* &quot;-&quot;\ _د_._ت_._‏_-;_-@_-"/>
    <numFmt numFmtId="170" formatCode="_-* #,##0.00\ &quot;د.ت.&quot;_-;\-* #,##0.00\ &quot;د.ت.&quot;_-;_-* &quot;-&quot;??\ &quot;د.ت.&quot;_-;_-@_-"/>
    <numFmt numFmtId="171" formatCode="_-* #,##0.00\ _د_._ت_._‏_-;\-* #,##0.00\ _د_._ت_._‏_-;_-* &quot;-&quot;??\ _د_._ت_._‏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0.0"/>
    <numFmt numFmtId="195" formatCode="#\ ###\ ##0\ "/>
    <numFmt numFmtId="196" formatCode="0%\ "/>
    <numFmt numFmtId="197" formatCode="#\ ##0\ "/>
    <numFmt numFmtId="198" formatCode="#\ \ ##0\ "/>
    <numFmt numFmtId="199" formatCode="#\ ##0"/>
    <numFmt numFmtId="200" formatCode="0.000"/>
    <numFmt numFmtId="201" formatCode="#,###,##0"/>
    <numFmt numFmtId="202" formatCode="\ General"/>
    <numFmt numFmtId="203" formatCode="#\ ###\ ##0\ \ "/>
    <numFmt numFmtId="204" formatCode="%0\ \ "/>
    <numFmt numFmtId="205" formatCode="#\ ##0\ \ "/>
    <numFmt numFmtId="206" formatCode="%\ 0\ \ \ "/>
    <numFmt numFmtId="207" formatCode="%\ 0\ "/>
    <numFmt numFmtId="208" formatCode="\ \ %\ 0\ \ \ "/>
    <numFmt numFmtId="209" formatCode="#\ ###\ ##0"/>
    <numFmt numFmtId="210" formatCode="\ \ \ 0"/>
    <numFmt numFmtId="211" formatCode="\ \ \ 0\ \ "/>
    <numFmt numFmtId="212" formatCode="%\ 0,"/>
    <numFmt numFmtId="213" formatCode="0.0%"/>
    <numFmt numFmtId="214" formatCode="%\ #,#00\ "/>
    <numFmt numFmtId="215" formatCode="%0\.0\ \ "/>
    <numFmt numFmtId="216" formatCode="%0.0\ \ "/>
    <numFmt numFmtId="217" formatCode="#,###,##0.0"/>
    <numFmt numFmtId="218" formatCode="#,###,##0.00"/>
    <numFmt numFmtId="219" formatCode="#,###,##0.000"/>
    <numFmt numFmtId="220" formatCode="#,##0.0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58"/>
      <name val="Times New Roman"/>
      <family val="1"/>
    </font>
    <font>
      <sz val="10"/>
      <color indexed="58"/>
      <name val="Times New Roman"/>
      <family val="1"/>
    </font>
    <font>
      <b/>
      <sz val="14"/>
      <name val="Times New Roman (Arabic)"/>
      <family val="1"/>
    </font>
    <font>
      <sz val="14"/>
      <name val="Times New Roman (Arabic)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0"/>
      <name val="Times New Roman (Arabic)"/>
      <family val="1"/>
    </font>
    <font>
      <b/>
      <sz val="18"/>
      <name val="Times New Roman (Arabic)"/>
      <family val="1"/>
    </font>
    <font>
      <b/>
      <sz val="10"/>
      <name val="Times New Roman (Arabic)"/>
      <family val="1"/>
    </font>
    <font>
      <b/>
      <sz val="12"/>
      <name val="Times New Roman (Arabic)"/>
      <family val="1"/>
    </font>
    <font>
      <sz val="16"/>
      <name val="Times New Roman (Arabic)"/>
      <family val="1"/>
    </font>
    <font>
      <b/>
      <sz val="16"/>
      <name val="Times New Roman (Arabic)"/>
      <family val="1"/>
    </font>
    <font>
      <b/>
      <sz val="20"/>
      <name val="Times New Roman (Arabic)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51" fillId="27" borderId="1" applyNumberFormat="0" applyAlignment="0" applyProtection="0"/>
    <xf numFmtId="0" fontId="52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400">
    <xf numFmtId="0" fontId="0" fillId="0" borderId="0" xfId="0" applyAlignment="1">
      <alignment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Continuous" vertical="center"/>
    </xf>
    <xf numFmtId="0" fontId="6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Continuous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8" fillId="33" borderId="14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201" fontId="8" fillId="33" borderId="11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201" fontId="6" fillId="33" borderId="18" xfId="0" applyNumberFormat="1" applyFont="1" applyFill="1" applyBorder="1" applyAlignment="1">
      <alignment vertical="center"/>
    </xf>
    <xf numFmtId="201" fontId="6" fillId="33" borderId="0" xfId="0" applyNumberFormat="1" applyFont="1" applyFill="1" applyAlignment="1">
      <alignment vertical="center"/>
    </xf>
    <xf numFmtId="201" fontId="6" fillId="33" borderId="15" xfId="0" applyNumberFormat="1" applyFont="1" applyFill="1" applyBorder="1" applyAlignment="1">
      <alignment vertical="center"/>
    </xf>
    <xf numFmtId="201" fontId="6" fillId="33" borderId="0" xfId="0" applyNumberFormat="1" applyFont="1" applyFill="1" applyBorder="1" applyAlignment="1">
      <alignment vertical="center"/>
    </xf>
    <xf numFmtId="201" fontId="5" fillId="33" borderId="0" xfId="0" applyNumberFormat="1" applyFont="1" applyFill="1" applyBorder="1" applyAlignment="1">
      <alignment horizontal="center" vertical="center"/>
    </xf>
    <xf numFmtId="201" fontId="6" fillId="33" borderId="0" xfId="0" applyNumberFormat="1" applyFont="1" applyFill="1" applyBorder="1" applyAlignment="1">
      <alignment horizontal="centerContinuous" vertical="center"/>
    </xf>
    <xf numFmtId="201" fontId="8" fillId="33" borderId="0" xfId="0" applyNumberFormat="1" applyFont="1" applyFill="1" applyBorder="1" applyAlignment="1">
      <alignment vertical="center"/>
    </xf>
    <xf numFmtId="201" fontId="8" fillId="33" borderId="0" xfId="0" applyNumberFormat="1" applyFont="1" applyFill="1" applyBorder="1" applyAlignment="1">
      <alignment horizontal="centerContinuous" vertical="center"/>
    </xf>
    <xf numFmtId="201" fontId="7" fillId="33" borderId="0" xfId="0" applyNumberFormat="1" applyFont="1" applyFill="1" applyBorder="1" applyAlignment="1">
      <alignment horizontal="center" vertical="center"/>
    </xf>
    <xf numFmtId="201" fontId="8" fillId="33" borderId="0" xfId="0" applyNumberFormat="1" applyFont="1" applyFill="1" applyBorder="1" applyAlignment="1">
      <alignment horizontal="center" vertical="center"/>
    </xf>
    <xf numFmtId="201" fontId="7" fillId="33" borderId="0" xfId="0" applyNumberFormat="1" applyFont="1" applyFill="1" applyBorder="1" applyAlignment="1" quotePrefix="1">
      <alignment horizontal="center" vertical="center"/>
    </xf>
    <xf numFmtId="201" fontId="5" fillId="33" borderId="19" xfId="0" applyNumberFormat="1" applyFont="1" applyFill="1" applyBorder="1" applyAlignment="1">
      <alignment horizontal="center" vertical="center"/>
    </xf>
    <xf numFmtId="201" fontId="5" fillId="33" borderId="0" xfId="0" applyNumberFormat="1" applyFont="1" applyFill="1" applyBorder="1" applyAlignment="1">
      <alignment vertical="center"/>
    </xf>
    <xf numFmtId="201" fontId="6" fillId="33" borderId="19" xfId="0" applyNumberFormat="1" applyFont="1" applyFill="1" applyBorder="1" applyAlignment="1">
      <alignment vertical="center"/>
    </xf>
    <xf numFmtId="201" fontId="6" fillId="33" borderId="16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1" fontId="5" fillId="33" borderId="14" xfId="0" applyNumberFormat="1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1" fontId="5" fillId="33" borderId="0" xfId="0" applyNumberFormat="1" applyFont="1" applyFill="1" applyAlignment="1">
      <alignment/>
    </xf>
    <xf numFmtId="201" fontId="6" fillId="33" borderId="0" xfId="0" applyNumberFormat="1" applyFont="1" applyFill="1" applyBorder="1" applyAlignment="1">
      <alignment horizontal="center" vertical="center"/>
    </xf>
    <xf numFmtId="201" fontId="5" fillId="33" borderId="15" xfId="0" applyNumberFormat="1" applyFont="1" applyFill="1" applyBorder="1" applyAlignment="1">
      <alignment horizontal="center" vertical="center"/>
    </xf>
    <xf numFmtId="201" fontId="8" fillId="33" borderId="14" xfId="0" applyNumberFormat="1" applyFont="1" applyFill="1" applyBorder="1" applyAlignment="1">
      <alignment horizontal="center" vertical="center"/>
    </xf>
    <xf numFmtId="201" fontId="5" fillId="33" borderId="0" xfId="0" applyNumberFormat="1" applyFont="1" applyFill="1" applyAlignment="1">
      <alignment horizontal="center" vertical="center"/>
    </xf>
    <xf numFmtId="201" fontId="5" fillId="33" borderId="14" xfId="0" applyNumberFormat="1" applyFont="1" applyFill="1" applyBorder="1" applyAlignment="1">
      <alignment horizontal="center" vertical="center"/>
    </xf>
    <xf numFmtId="201" fontId="5" fillId="33" borderId="15" xfId="0" applyNumberFormat="1" applyFont="1" applyFill="1" applyBorder="1" applyAlignment="1">
      <alignment vertical="center"/>
    </xf>
    <xf numFmtId="201" fontId="5" fillId="33" borderId="0" xfId="0" applyNumberFormat="1" applyFont="1" applyFill="1" applyAlignment="1">
      <alignment vertical="center"/>
    </xf>
    <xf numFmtId="201" fontId="7" fillId="33" borderId="19" xfId="0" applyNumberFormat="1" applyFont="1" applyFill="1" applyBorder="1" applyAlignment="1">
      <alignment horizontal="center" vertical="center"/>
    </xf>
    <xf numFmtId="201" fontId="7" fillId="33" borderId="19" xfId="0" applyNumberFormat="1" applyFont="1" applyFill="1" applyBorder="1" applyAlignment="1" quotePrefix="1">
      <alignment horizontal="center" vertical="center"/>
    </xf>
    <xf numFmtId="201" fontId="6" fillId="33" borderId="19" xfId="0" applyNumberFormat="1" applyFont="1" applyFill="1" applyBorder="1" applyAlignment="1">
      <alignment horizontal="center" vertical="center"/>
    </xf>
    <xf numFmtId="201" fontId="6" fillId="33" borderId="19" xfId="0" applyNumberFormat="1" applyFont="1" applyFill="1" applyBorder="1" applyAlignment="1">
      <alignment horizontal="right" vertical="center"/>
    </xf>
    <xf numFmtId="201" fontId="6" fillId="33" borderId="0" xfId="0" applyNumberFormat="1" applyFont="1" applyFill="1" applyBorder="1" applyAlignment="1">
      <alignment horizontal="right" vertical="center"/>
    </xf>
    <xf numFmtId="201" fontId="5" fillId="33" borderId="19" xfId="0" applyNumberFormat="1" applyFont="1" applyFill="1" applyBorder="1" applyAlignment="1">
      <alignment horizontal="right" vertical="center"/>
    </xf>
    <xf numFmtId="201" fontId="6" fillId="33" borderId="20" xfId="0" applyNumberFormat="1" applyFont="1" applyFill="1" applyBorder="1" applyAlignment="1">
      <alignment vertical="center"/>
    </xf>
    <xf numFmtId="201" fontId="6" fillId="33" borderId="21" xfId="0" applyNumberFormat="1" applyFont="1" applyFill="1" applyBorder="1" applyAlignment="1">
      <alignment vertical="center"/>
    </xf>
    <xf numFmtId="201" fontId="6" fillId="33" borderId="22" xfId="0" applyNumberFormat="1" applyFont="1" applyFill="1" applyBorder="1" applyAlignment="1">
      <alignment vertical="center"/>
    </xf>
    <xf numFmtId="201" fontId="9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201" fontId="4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9" fontId="5" fillId="33" borderId="12" xfId="0" applyNumberFormat="1" applyFont="1" applyFill="1" applyBorder="1" applyAlignment="1">
      <alignment vertical="center"/>
    </xf>
    <xf numFmtId="201" fontId="5" fillId="33" borderId="0" xfId="0" applyNumberFormat="1" applyFont="1" applyFill="1" applyBorder="1" applyAlignment="1">
      <alignment horizontal="left" vertical="center"/>
    </xf>
    <xf numFmtId="203" fontId="5" fillId="33" borderId="12" xfId="0" applyNumberFormat="1" applyFont="1" applyFill="1" applyBorder="1" applyAlignment="1">
      <alignment vertical="center"/>
    </xf>
    <xf numFmtId="17" fontId="7" fillId="33" borderId="0" xfId="0" applyNumberFormat="1" applyFont="1" applyFill="1" applyBorder="1" applyAlignment="1" quotePrefix="1">
      <alignment horizontal="center"/>
    </xf>
    <xf numFmtId="201" fontId="6" fillId="33" borderId="0" xfId="0" applyNumberFormat="1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201" fontId="6" fillId="33" borderId="10" xfId="0" applyNumberFormat="1" applyFont="1" applyFill="1" applyBorder="1" applyAlignment="1">
      <alignment vertical="center"/>
    </xf>
    <xf numFmtId="201" fontId="5" fillId="33" borderId="0" xfId="0" applyNumberFormat="1" applyFont="1" applyFill="1" applyBorder="1" applyAlignment="1">
      <alignment horizontal="left" vertical="center" wrapText="1"/>
    </xf>
    <xf numFmtId="195" fontId="6" fillId="33" borderId="0" xfId="0" applyNumberFormat="1" applyFont="1" applyFill="1" applyBorder="1" applyAlignment="1">
      <alignment/>
    </xf>
    <xf numFmtId="196" fontId="5" fillId="33" borderId="0" xfId="0" applyNumberFormat="1" applyFont="1" applyFill="1" applyBorder="1" applyAlignment="1" quotePrefix="1">
      <alignment horizontal="right"/>
    </xf>
    <xf numFmtId="203" fontId="6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2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Continuous" vertical="center"/>
    </xf>
    <xf numFmtId="0" fontId="0" fillId="0" borderId="19" xfId="0" applyBorder="1" applyAlignment="1">
      <alignment horizontal="left"/>
    </xf>
    <xf numFmtId="0" fontId="7" fillId="33" borderId="24" xfId="0" applyFont="1" applyFill="1" applyBorder="1" applyAlignment="1">
      <alignment horizontal="centerContinuous" vertical="center"/>
    </xf>
    <xf numFmtId="0" fontId="8" fillId="33" borderId="0" xfId="0" applyFont="1" applyFill="1" applyAlignment="1">
      <alignment horizontal="center" vertical="center"/>
    </xf>
    <xf numFmtId="201" fontId="5" fillId="33" borderId="21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201" fontId="4" fillId="33" borderId="12" xfId="0" applyNumberFormat="1" applyFont="1" applyFill="1" applyBorder="1" applyAlignment="1">
      <alignment horizontal="right" vertical="center" indent="1"/>
    </xf>
    <xf numFmtId="0" fontId="4" fillId="33" borderId="12" xfId="0" applyFont="1" applyFill="1" applyBorder="1" applyAlignment="1">
      <alignment horizontal="right" indent="1"/>
    </xf>
    <xf numFmtId="0" fontId="4" fillId="33" borderId="13" xfId="0" applyFont="1" applyFill="1" applyBorder="1" applyAlignment="1">
      <alignment horizontal="right" indent="1"/>
    </xf>
    <xf numFmtId="9" fontId="5" fillId="33" borderId="25" xfId="0" applyNumberFormat="1" applyFont="1" applyFill="1" applyBorder="1" applyAlignment="1">
      <alignment horizontal="right" vertical="center" indent="1"/>
    </xf>
    <xf numFmtId="200" fontId="15" fillId="33" borderId="0" xfId="0" applyNumberFormat="1" applyFont="1" applyFill="1" applyBorder="1" applyAlignment="1">
      <alignment horizontal="center" vertical="center"/>
    </xf>
    <xf numFmtId="201" fontId="16" fillId="33" borderId="0" xfId="0" applyNumberFormat="1" applyFont="1" applyFill="1" applyBorder="1" applyAlignment="1">
      <alignment horizontal="center" vertical="center"/>
    </xf>
    <xf numFmtId="201" fontId="17" fillId="33" borderId="0" xfId="0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/>
    </xf>
    <xf numFmtId="201" fontId="8" fillId="33" borderId="26" xfId="0" applyNumberFormat="1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201" fontId="9" fillId="33" borderId="11" xfId="0" applyNumberFormat="1" applyFont="1" applyFill="1" applyBorder="1" applyAlignment="1">
      <alignment vertical="center"/>
    </xf>
    <xf numFmtId="201" fontId="7" fillId="33" borderId="0" xfId="0" applyNumberFormat="1" applyFont="1" applyFill="1" applyBorder="1" applyAlignment="1">
      <alignment vertical="center"/>
    </xf>
    <xf numFmtId="201" fontId="20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/>
    </xf>
    <xf numFmtId="201" fontId="7" fillId="33" borderId="25" xfId="0" applyNumberFormat="1" applyFont="1" applyFill="1" applyBorder="1" applyAlignment="1">
      <alignment vertical="center"/>
    </xf>
    <xf numFmtId="201" fontId="9" fillId="33" borderId="25" xfId="0" applyNumberFormat="1" applyFont="1" applyFill="1" applyBorder="1" applyAlignment="1">
      <alignment vertical="center"/>
    </xf>
    <xf numFmtId="201" fontId="9" fillId="33" borderId="19" xfId="0" applyNumberFormat="1" applyFont="1" applyFill="1" applyBorder="1" applyAlignment="1">
      <alignment vertical="center"/>
    </xf>
    <xf numFmtId="201" fontId="9" fillId="33" borderId="22" xfId="0" applyNumberFormat="1" applyFont="1" applyFill="1" applyBorder="1" applyAlignment="1">
      <alignment vertical="center"/>
    </xf>
    <xf numFmtId="199" fontId="8" fillId="33" borderId="12" xfId="0" applyNumberFormat="1" applyFont="1" applyFill="1" applyBorder="1" applyAlignment="1">
      <alignment vertical="center"/>
    </xf>
    <xf numFmtId="199" fontId="8" fillId="33" borderId="25" xfId="0" applyNumberFormat="1" applyFont="1" applyFill="1" applyBorder="1" applyAlignment="1">
      <alignment horizontal="right" vertical="center"/>
    </xf>
    <xf numFmtId="199" fontId="8" fillId="33" borderId="25" xfId="0" applyNumberFormat="1" applyFont="1" applyFill="1" applyBorder="1" applyAlignment="1">
      <alignment vertical="center"/>
    </xf>
    <xf numFmtId="199" fontId="8" fillId="33" borderId="25" xfId="0" applyNumberFormat="1" applyFont="1" applyFill="1" applyBorder="1" applyAlignment="1">
      <alignment horizontal="right" vertical="center" indent="1"/>
    </xf>
    <xf numFmtId="204" fontId="8" fillId="33" borderId="12" xfId="0" applyNumberFormat="1" applyFont="1" applyFill="1" applyBorder="1" applyAlignment="1">
      <alignment vertical="center"/>
    </xf>
    <xf numFmtId="0" fontId="14" fillId="33" borderId="28" xfId="0" applyNumberFormat="1" applyFont="1" applyFill="1" applyBorder="1" applyAlignment="1">
      <alignment horizontal="center" vertical="center"/>
    </xf>
    <xf numFmtId="0" fontId="14" fillId="33" borderId="29" xfId="0" applyNumberFormat="1" applyFont="1" applyFill="1" applyBorder="1" applyAlignment="1">
      <alignment horizontal="center" vertical="center"/>
    </xf>
    <xf numFmtId="201" fontId="9" fillId="33" borderId="30" xfId="0" applyNumberFormat="1" applyFont="1" applyFill="1" applyBorder="1" applyAlignment="1">
      <alignment vertical="center"/>
    </xf>
    <xf numFmtId="196" fontId="5" fillId="33" borderId="31" xfId="0" applyNumberFormat="1" applyFont="1" applyFill="1" applyBorder="1" applyAlignment="1">
      <alignment vertical="center"/>
    </xf>
    <xf numFmtId="196" fontId="5" fillId="33" borderId="32" xfId="0" applyNumberFormat="1" applyFont="1" applyFill="1" applyBorder="1" applyAlignment="1">
      <alignment vertical="center"/>
    </xf>
    <xf numFmtId="1" fontId="5" fillId="33" borderId="33" xfId="0" applyNumberFormat="1" applyFont="1" applyFill="1" applyBorder="1" applyAlignment="1">
      <alignment vertical="center"/>
    </xf>
    <xf numFmtId="1" fontId="5" fillId="33" borderId="32" xfId="0" applyNumberFormat="1" applyFont="1" applyFill="1" applyBorder="1" applyAlignment="1">
      <alignment vertical="center"/>
    </xf>
    <xf numFmtId="1" fontId="5" fillId="33" borderId="34" xfId="0" applyNumberFormat="1" applyFont="1" applyFill="1" applyBorder="1" applyAlignment="1">
      <alignment horizontal="right" vertical="center"/>
    </xf>
    <xf numFmtId="201" fontId="9" fillId="33" borderId="34" xfId="0" applyNumberFormat="1" applyFont="1" applyFill="1" applyBorder="1" applyAlignment="1">
      <alignment vertical="center"/>
    </xf>
    <xf numFmtId="201" fontId="9" fillId="33" borderId="16" xfId="0" applyNumberFormat="1" applyFont="1" applyFill="1" applyBorder="1" applyAlignment="1">
      <alignment vertical="center"/>
    </xf>
    <xf numFmtId="201" fontId="9" fillId="33" borderId="17" xfId="0" applyNumberFormat="1" applyFont="1" applyFill="1" applyBorder="1" applyAlignment="1">
      <alignment vertical="center"/>
    </xf>
    <xf numFmtId="203" fontId="6" fillId="33" borderId="35" xfId="0" applyNumberFormat="1" applyFont="1" applyFill="1" applyBorder="1" applyAlignment="1">
      <alignment vertical="center"/>
    </xf>
    <xf numFmtId="0" fontId="14" fillId="33" borderId="31" xfId="0" applyNumberFormat="1" applyFont="1" applyFill="1" applyBorder="1" applyAlignment="1">
      <alignment horizontal="center" vertical="center"/>
    </xf>
    <xf numFmtId="0" fontId="14" fillId="33" borderId="32" xfId="0" applyNumberFormat="1" applyFont="1" applyFill="1" applyBorder="1" applyAlignment="1">
      <alignment horizontal="center" vertical="center"/>
    </xf>
    <xf numFmtId="194" fontId="5" fillId="33" borderId="26" xfId="0" applyNumberFormat="1" applyFont="1" applyFill="1" applyBorder="1" applyAlignment="1">
      <alignment horizontal="center" vertical="center"/>
    </xf>
    <xf numFmtId="201" fontId="8" fillId="33" borderId="36" xfId="0" applyNumberFormat="1" applyFont="1" applyFill="1" applyBorder="1" applyAlignment="1">
      <alignment horizontal="center" vertical="center"/>
    </xf>
    <xf numFmtId="201" fontId="8" fillId="33" borderId="37" xfId="0" applyNumberFormat="1" applyFont="1" applyFill="1" applyBorder="1" applyAlignment="1">
      <alignment horizontal="center" vertical="center"/>
    </xf>
    <xf numFmtId="201" fontId="8" fillId="33" borderId="38" xfId="0" applyNumberFormat="1" applyFont="1" applyFill="1" applyBorder="1" applyAlignment="1">
      <alignment horizontal="center" vertical="center"/>
    </xf>
    <xf numFmtId="194" fontId="8" fillId="33" borderId="39" xfId="0" applyNumberFormat="1" applyFont="1" applyFill="1" applyBorder="1" applyAlignment="1">
      <alignment horizontal="center" vertical="center"/>
    </xf>
    <xf numFmtId="205" fontId="8" fillId="33" borderId="14" xfId="0" applyNumberFormat="1" applyFont="1" applyFill="1" applyBorder="1" applyAlignment="1">
      <alignment horizontal="right" vertical="center"/>
    </xf>
    <xf numFmtId="197" fontId="4" fillId="33" borderId="12" xfId="0" applyNumberFormat="1" applyFont="1" applyFill="1" applyBorder="1" applyAlignment="1">
      <alignment/>
    </xf>
    <xf numFmtId="197" fontId="8" fillId="33" borderId="14" xfId="0" applyNumberFormat="1" applyFont="1" applyFill="1" applyBorder="1" applyAlignment="1">
      <alignment/>
    </xf>
    <xf numFmtId="197" fontId="8" fillId="33" borderId="14" xfId="0" applyNumberFormat="1" applyFont="1" applyFill="1" applyBorder="1" applyAlignment="1">
      <alignment vertical="center"/>
    </xf>
    <xf numFmtId="197" fontId="8" fillId="33" borderId="12" xfId="0" applyNumberFormat="1" applyFont="1" applyFill="1" applyBorder="1" applyAlignment="1">
      <alignment/>
    </xf>
    <xf numFmtId="197" fontId="4" fillId="33" borderId="13" xfId="0" applyNumberFormat="1" applyFont="1" applyFill="1" applyBorder="1" applyAlignment="1">
      <alignment/>
    </xf>
    <xf numFmtId="1" fontId="8" fillId="33" borderId="14" xfId="0" applyNumberFormat="1" applyFont="1" applyFill="1" applyBorder="1" applyAlignment="1">
      <alignment horizontal="center"/>
    </xf>
    <xf numFmtId="203" fontId="4" fillId="33" borderId="12" xfId="0" applyNumberFormat="1" applyFont="1" applyFill="1" applyBorder="1" applyAlignment="1">
      <alignment horizontal="right" vertical="center"/>
    </xf>
    <xf numFmtId="203" fontId="8" fillId="33" borderId="14" xfId="0" applyNumberFormat="1" applyFont="1" applyFill="1" applyBorder="1" applyAlignment="1">
      <alignment horizontal="right" vertical="center"/>
    </xf>
    <xf numFmtId="203" fontId="8" fillId="33" borderId="11" xfId="0" applyNumberFormat="1" applyFont="1" applyFill="1" applyBorder="1" applyAlignment="1">
      <alignment horizontal="right" vertical="center"/>
    </xf>
    <xf numFmtId="196" fontId="8" fillId="33" borderId="14" xfId="0" applyNumberFormat="1" applyFont="1" applyFill="1" applyBorder="1" applyAlignment="1">
      <alignment vertical="center"/>
    </xf>
    <xf numFmtId="201" fontId="7" fillId="33" borderId="27" xfId="0" applyNumberFormat="1" applyFont="1" applyFill="1" applyBorder="1" applyAlignment="1">
      <alignment horizontal="center" vertical="center"/>
    </xf>
    <xf numFmtId="9" fontId="8" fillId="33" borderId="14" xfId="0" applyNumberFormat="1" applyFont="1" applyFill="1" applyBorder="1" applyAlignment="1">
      <alignment vertical="center"/>
    </xf>
    <xf numFmtId="201" fontId="7" fillId="33" borderId="23" xfId="0" applyNumberFormat="1" applyFont="1" applyFill="1" applyBorder="1" applyAlignment="1">
      <alignment horizontal="center" vertical="center"/>
    </xf>
    <xf numFmtId="205" fontId="9" fillId="33" borderId="10" xfId="0" applyNumberFormat="1" applyFont="1" applyFill="1" applyBorder="1" applyAlignment="1">
      <alignment horizontal="right" vertical="center"/>
    </xf>
    <xf numFmtId="205" fontId="9" fillId="33" borderId="19" xfId="0" applyNumberFormat="1" applyFont="1" applyFill="1" applyBorder="1" applyAlignment="1">
      <alignment horizontal="right" vertical="center"/>
    </xf>
    <xf numFmtId="205" fontId="9" fillId="33" borderId="22" xfId="0" applyNumberFormat="1" applyFont="1" applyFill="1" applyBorder="1" applyAlignment="1">
      <alignment horizontal="right" vertical="center"/>
    </xf>
    <xf numFmtId="205" fontId="7" fillId="33" borderId="20" xfId="0" applyNumberFormat="1" applyFont="1" applyFill="1" applyBorder="1" applyAlignment="1">
      <alignment horizontal="right" vertical="center"/>
    </xf>
    <xf numFmtId="201" fontId="7" fillId="33" borderId="14" xfId="0" applyNumberFormat="1" applyFont="1" applyFill="1" applyBorder="1" applyAlignment="1">
      <alignment horizontal="center" vertical="center"/>
    </xf>
    <xf numFmtId="201" fontId="9" fillId="33" borderId="12" xfId="0" applyNumberFormat="1" applyFont="1" applyFill="1" applyBorder="1" applyAlignment="1">
      <alignment vertical="center"/>
    </xf>
    <xf numFmtId="201" fontId="9" fillId="33" borderId="13" xfId="0" applyNumberFormat="1" applyFont="1" applyFill="1" applyBorder="1" applyAlignment="1">
      <alignment vertical="center"/>
    </xf>
    <xf numFmtId="205" fontId="9" fillId="33" borderId="24" xfId="0" applyNumberFormat="1" applyFont="1" applyFill="1" applyBorder="1" applyAlignment="1">
      <alignment horizontal="right" vertical="center"/>
    </xf>
    <xf numFmtId="205" fontId="9" fillId="33" borderId="0" xfId="0" applyNumberFormat="1" applyFont="1" applyFill="1" applyBorder="1" applyAlignment="1">
      <alignment horizontal="right" vertical="center"/>
    </xf>
    <xf numFmtId="205" fontId="7" fillId="33" borderId="27" xfId="0" applyNumberFormat="1" applyFont="1" applyFill="1" applyBorder="1" applyAlignment="1">
      <alignment vertical="center"/>
    </xf>
    <xf numFmtId="205" fontId="7" fillId="33" borderId="27" xfId="0" applyNumberFormat="1" applyFont="1" applyFill="1" applyBorder="1" applyAlignment="1">
      <alignment horizontal="right" vertical="center"/>
    </xf>
    <xf numFmtId="201" fontId="21" fillId="33" borderId="0" xfId="0" applyNumberFormat="1" applyFont="1" applyFill="1" applyBorder="1" applyAlignment="1">
      <alignment vertical="center"/>
    </xf>
    <xf numFmtId="0" fontId="9" fillId="33" borderId="12" xfId="0" applyFont="1" applyFill="1" applyBorder="1" applyAlignment="1">
      <alignment horizontal="right" vertical="center" indent="1"/>
    </xf>
    <xf numFmtId="0" fontId="10" fillId="33" borderId="27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205" fontId="9" fillId="33" borderId="25" xfId="0" applyNumberFormat="1" applyFont="1" applyFill="1" applyBorder="1" applyAlignment="1">
      <alignment horizontal="right" vertical="center"/>
    </xf>
    <xf numFmtId="205" fontId="7" fillId="33" borderId="14" xfId="0" applyNumberFormat="1" applyFont="1" applyFill="1" applyBorder="1" applyAlignment="1">
      <alignment horizontal="right" vertical="center"/>
    </xf>
    <xf numFmtId="205" fontId="9" fillId="33" borderId="12" xfId="0" applyNumberFormat="1" applyFont="1" applyFill="1" applyBorder="1" applyAlignment="1">
      <alignment horizontal="right" vertical="center"/>
    </xf>
    <xf numFmtId="205" fontId="4" fillId="33" borderId="12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19" fillId="33" borderId="0" xfId="0" applyFont="1" applyFill="1" applyAlignment="1">
      <alignment vertical="center"/>
    </xf>
    <xf numFmtId="0" fontId="18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left" vertical="center"/>
    </xf>
    <xf numFmtId="201" fontId="18" fillId="33" borderId="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left" vertical="center"/>
    </xf>
    <xf numFmtId="0" fontId="24" fillId="0" borderId="0" xfId="0" applyFont="1" applyAlignment="1">
      <alignment vertical="center"/>
    </xf>
    <xf numFmtId="196" fontId="18" fillId="33" borderId="0" xfId="0" applyNumberFormat="1" applyFont="1" applyFill="1" applyBorder="1" applyAlignment="1">
      <alignment horizontal="right" vertical="center"/>
    </xf>
    <xf numFmtId="0" fontId="19" fillId="33" borderId="0" xfId="0" applyFont="1" applyFill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33" borderId="14" xfId="0" applyFont="1" applyFill="1" applyBorder="1" applyAlignment="1">
      <alignment vertical="center"/>
    </xf>
    <xf numFmtId="203" fontId="19" fillId="33" borderId="26" xfId="0" applyNumberFormat="1" applyFont="1" applyFill="1" applyBorder="1" applyAlignment="1">
      <alignment horizontal="right" vertical="center"/>
    </xf>
    <xf numFmtId="0" fontId="18" fillId="33" borderId="14" xfId="0" applyFont="1" applyFill="1" applyBorder="1" applyAlignment="1">
      <alignment vertical="center"/>
    </xf>
    <xf numFmtId="203" fontId="18" fillId="33" borderId="14" xfId="0" applyNumberFormat="1" applyFont="1" applyFill="1" applyBorder="1" applyAlignment="1">
      <alignment horizontal="right" vertical="center"/>
    </xf>
    <xf numFmtId="9" fontId="18" fillId="33" borderId="0" xfId="0" applyNumberFormat="1" applyFont="1" applyFill="1" applyBorder="1" applyAlignment="1">
      <alignment vertical="center"/>
    </xf>
    <xf numFmtId="0" fontId="19" fillId="33" borderId="0" xfId="0" applyFont="1" applyFill="1" applyBorder="1" applyAlignment="1" quotePrefix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201" fontId="18" fillId="33" borderId="0" xfId="0" applyNumberFormat="1" applyFont="1" applyFill="1" applyBorder="1" applyAlignment="1">
      <alignment vertical="center"/>
    </xf>
    <xf numFmtId="201" fontId="23" fillId="33" borderId="0" xfId="0" applyNumberFormat="1" applyFont="1" applyFill="1" applyBorder="1" applyAlignment="1">
      <alignment horizontal="center" vertical="center"/>
    </xf>
    <xf numFmtId="0" fontId="18" fillId="0" borderId="40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vertical="center"/>
    </xf>
    <xf numFmtId="0" fontId="19" fillId="33" borderId="13" xfId="0" applyFont="1" applyFill="1" applyBorder="1" applyAlignment="1">
      <alignment vertical="center"/>
    </xf>
    <xf numFmtId="203" fontId="19" fillId="33" borderId="12" xfId="0" applyNumberFormat="1" applyFont="1" applyFill="1" applyBorder="1" applyAlignment="1">
      <alignment horizontal="right" vertical="center"/>
    </xf>
    <xf numFmtId="0" fontId="18" fillId="33" borderId="43" xfId="0" applyFont="1" applyFill="1" applyBorder="1" applyAlignment="1">
      <alignment horizontal="center" vertical="center"/>
    </xf>
    <xf numFmtId="0" fontId="18" fillId="33" borderId="44" xfId="0" applyFont="1" applyFill="1" applyBorder="1" applyAlignment="1">
      <alignment horizontal="center" vertical="center"/>
    </xf>
    <xf numFmtId="0" fontId="18" fillId="33" borderId="39" xfId="0" applyFont="1" applyFill="1" applyBorder="1" applyAlignment="1">
      <alignment horizontal="center" vertical="center"/>
    </xf>
    <xf numFmtId="0" fontId="18" fillId="33" borderId="45" xfId="0" applyFont="1" applyFill="1" applyBorder="1" applyAlignment="1">
      <alignment horizontal="center" vertical="center"/>
    </xf>
    <xf numFmtId="211" fontId="5" fillId="33" borderId="42" xfId="0" applyNumberFormat="1" applyFont="1" applyFill="1" applyBorder="1" applyAlignment="1">
      <alignment vertical="center"/>
    </xf>
    <xf numFmtId="211" fontId="5" fillId="33" borderId="41" xfId="0" applyNumberFormat="1" applyFont="1" applyFill="1" applyBorder="1" applyAlignment="1">
      <alignment vertical="center"/>
    </xf>
    <xf numFmtId="213" fontId="9" fillId="33" borderId="12" xfId="0" applyNumberFormat="1" applyFont="1" applyFill="1" applyBorder="1" applyAlignment="1">
      <alignment vertical="center"/>
    </xf>
    <xf numFmtId="213" fontId="7" fillId="33" borderId="14" xfId="0" applyNumberFormat="1" applyFont="1" applyFill="1" applyBorder="1" applyAlignment="1">
      <alignment vertical="center"/>
    </xf>
    <xf numFmtId="213" fontId="9" fillId="33" borderId="19" xfId="0" applyNumberFormat="1" applyFont="1" applyFill="1" applyBorder="1" applyAlignment="1">
      <alignment vertical="center"/>
    </xf>
    <xf numFmtId="213" fontId="9" fillId="33" borderId="14" xfId="0" applyNumberFormat="1" applyFont="1" applyFill="1" applyBorder="1" applyAlignment="1">
      <alignment vertical="center"/>
    </xf>
    <xf numFmtId="10" fontId="9" fillId="33" borderId="12" xfId="0" applyNumberFormat="1" applyFont="1" applyFill="1" applyBorder="1" applyAlignment="1">
      <alignment vertical="center"/>
    </xf>
    <xf numFmtId="10" fontId="9" fillId="33" borderId="11" xfId="0" applyNumberFormat="1" applyFont="1" applyFill="1" applyBorder="1" applyAlignment="1">
      <alignment vertical="center"/>
    </xf>
    <xf numFmtId="10" fontId="9" fillId="33" borderId="13" xfId="0" applyNumberFormat="1" applyFont="1" applyFill="1" applyBorder="1" applyAlignment="1">
      <alignment vertical="center"/>
    </xf>
    <xf numFmtId="10" fontId="7" fillId="33" borderId="20" xfId="0" applyNumberFormat="1" applyFont="1" applyFill="1" applyBorder="1" applyAlignment="1">
      <alignment vertical="center"/>
    </xf>
    <xf numFmtId="213" fontId="9" fillId="33" borderId="11" xfId="0" applyNumberFormat="1" applyFont="1" applyFill="1" applyBorder="1" applyAlignment="1">
      <alignment vertical="center"/>
    </xf>
    <xf numFmtId="213" fontId="9" fillId="33" borderId="13" xfId="0" applyNumberFormat="1" applyFont="1" applyFill="1" applyBorder="1" applyAlignment="1">
      <alignment vertical="center"/>
    </xf>
    <xf numFmtId="213" fontId="9" fillId="33" borderId="0" xfId="0" applyNumberFormat="1" applyFont="1" applyFill="1" applyBorder="1" applyAlignment="1">
      <alignment horizontal="right" vertical="center"/>
    </xf>
    <xf numFmtId="201" fontId="7" fillId="33" borderId="25" xfId="0" applyNumberFormat="1" applyFont="1" applyFill="1" applyBorder="1" applyAlignment="1">
      <alignment horizontal="center" vertical="center"/>
    </xf>
    <xf numFmtId="213" fontId="7" fillId="33" borderId="0" xfId="0" applyNumberFormat="1" applyFont="1" applyFill="1" applyBorder="1" applyAlignment="1">
      <alignment vertical="center"/>
    </xf>
    <xf numFmtId="10" fontId="7" fillId="33" borderId="0" xfId="0" applyNumberFormat="1" applyFont="1" applyFill="1" applyBorder="1" applyAlignment="1">
      <alignment vertical="center"/>
    </xf>
    <xf numFmtId="205" fontId="7" fillId="33" borderId="0" xfId="0" applyNumberFormat="1" applyFont="1" applyFill="1" applyBorder="1" applyAlignment="1">
      <alignment vertical="center"/>
    </xf>
    <xf numFmtId="205" fontId="7" fillId="33" borderId="0" xfId="0" applyNumberFormat="1" applyFont="1" applyFill="1" applyBorder="1" applyAlignment="1">
      <alignment horizontal="right" vertical="center"/>
    </xf>
    <xf numFmtId="216" fontId="8" fillId="33" borderId="15" xfId="0" applyNumberFormat="1" applyFont="1" applyFill="1" applyBorder="1" applyAlignment="1">
      <alignment vertical="center"/>
    </xf>
    <xf numFmtId="204" fontId="8" fillId="33" borderId="15" xfId="0" applyNumberFormat="1" applyFont="1" applyFill="1" applyBorder="1" applyAlignment="1">
      <alignment vertical="center"/>
    </xf>
    <xf numFmtId="216" fontId="8" fillId="33" borderId="12" xfId="0" applyNumberFormat="1" applyFont="1" applyFill="1" applyBorder="1" applyAlignment="1">
      <alignment vertical="center"/>
    </xf>
    <xf numFmtId="216" fontId="4" fillId="33" borderId="12" xfId="0" applyNumberFormat="1" applyFont="1" applyFill="1" applyBorder="1" applyAlignment="1">
      <alignment horizontal="right"/>
    </xf>
    <xf numFmtId="216" fontId="8" fillId="33" borderId="14" xfId="0" applyNumberFormat="1" applyFont="1" applyFill="1" applyBorder="1" applyAlignment="1">
      <alignment horizontal="right"/>
    </xf>
    <xf numFmtId="216" fontId="8" fillId="33" borderId="11" xfId="0" applyNumberFormat="1" applyFont="1" applyFill="1" applyBorder="1" applyAlignment="1">
      <alignment horizontal="right"/>
    </xf>
    <xf numFmtId="216" fontId="4" fillId="33" borderId="11" xfId="0" applyNumberFormat="1" applyFont="1" applyFill="1" applyBorder="1" applyAlignment="1">
      <alignment horizontal="right"/>
    </xf>
    <xf numFmtId="216" fontId="4" fillId="33" borderId="12" xfId="0" applyNumberFormat="1" applyFont="1" applyFill="1" applyBorder="1" applyAlignment="1">
      <alignment horizontal="right" vertical="center"/>
    </xf>
    <xf numFmtId="216" fontId="8" fillId="33" borderId="14" xfId="0" applyNumberFormat="1" applyFont="1" applyFill="1" applyBorder="1" applyAlignment="1">
      <alignment horizontal="right" vertical="center"/>
    </xf>
    <xf numFmtId="216" fontId="9" fillId="33" borderId="19" xfId="0" applyNumberFormat="1" applyFont="1" applyFill="1" applyBorder="1" applyAlignment="1">
      <alignment horizontal="right" vertical="center"/>
    </xf>
    <xf numFmtId="216" fontId="7" fillId="33" borderId="26" xfId="0" applyNumberFormat="1" applyFont="1" applyFill="1" applyBorder="1" applyAlignment="1">
      <alignment horizontal="right" vertical="center"/>
    </xf>
    <xf numFmtId="216" fontId="7" fillId="33" borderId="14" xfId="0" applyNumberFormat="1" applyFont="1" applyFill="1" applyBorder="1" applyAlignment="1">
      <alignment horizontal="right" vertical="center"/>
    </xf>
    <xf numFmtId="216" fontId="9" fillId="33" borderId="25" xfId="0" applyNumberFormat="1" applyFont="1" applyFill="1" applyBorder="1" applyAlignment="1">
      <alignment horizontal="right" vertical="center"/>
    </xf>
    <xf numFmtId="216" fontId="9" fillId="33" borderId="12" xfId="0" applyNumberFormat="1" applyFont="1" applyFill="1" applyBorder="1" applyAlignment="1">
      <alignment horizontal="right" vertical="center"/>
    </xf>
    <xf numFmtId="216" fontId="7" fillId="33" borderId="27" xfId="0" applyNumberFormat="1" applyFont="1" applyFill="1" applyBorder="1" applyAlignment="1">
      <alignment horizontal="right" vertical="center"/>
    </xf>
    <xf numFmtId="216" fontId="18" fillId="33" borderId="14" xfId="0" applyNumberFormat="1" applyFont="1" applyFill="1" applyBorder="1" applyAlignment="1">
      <alignment horizontal="right" vertical="center"/>
    </xf>
    <xf numFmtId="0" fontId="5" fillId="33" borderId="21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 vertical="center" readingOrder="2"/>
    </xf>
    <xf numFmtId="0" fontId="7" fillId="33" borderId="25" xfId="0" applyFont="1" applyFill="1" applyBorder="1" applyAlignment="1">
      <alignment horizontal="centerContinuous" vertical="center"/>
    </xf>
    <xf numFmtId="194" fontId="8" fillId="33" borderId="32" xfId="0" applyNumberFormat="1" applyFont="1" applyFill="1" applyBorder="1" applyAlignment="1">
      <alignment horizontal="center" vertical="center"/>
    </xf>
    <xf numFmtId="201" fontId="8" fillId="33" borderId="0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right"/>
    </xf>
    <xf numFmtId="213" fontId="9" fillId="33" borderId="0" xfId="0" applyNumberFormat="1" applyFont="1" applyFill="1" applyBorder="1" applyAlignment="1">
      <alignment vertical="center"/>
    </xf>
    <xf numFmtId="213" fontId="7" fillId="33" borderId="0" xfId="0" applyNumberFormat="1" applyFont="1" applyFill="1" applyBorder="1" applyAlignment="1">
      <alignment horizontal="right" vertical="center"/>
    </xf>
    <xf numFmtId="201" fontId="9" fillId="33" borderId="19" xfId="0" applyNumberFormat="1" applyFont="1" applyFill="1" applyBorder="1" applyAlignment="1">
      <alignment horizontal="right" vertical="center"/>
    </xf>
    <xf numFmtId="219" fontId="6" fillId="33" borderId="0" xfId="0" applyNumberFormat="1" applyFont="1" applyFill="1" applyAlignment="1">
      <alignment vertical="center"/>
    </xf>
    <xf numFmtId="216" fontId="4" fillId="34" borderId="12" xfId="0" applyNumberFormat="1" applyFont="1" applyFill="1" applyBorder="1" applyAlignment="1">
      <alignment horizontal="right"/>
    </xf>
    <xf numFmtId="197" fontId="4" fillId="34" borderId="12" xfId="0" applyNumberFormat="1" applyFont="1" applyFill="1" applyBorder="1" applyAlignment="1">
      <alignment/>
    </xf>
    <xf numFmtId="194" fontId="8" fillId="34" borderId="39" xfId="0" applyNumberFormat="1" applyFont="1" applyFill="1" applyBorder="1" applyAlignment="1">
      <alignment horizontal="center" vertical="center"/>
    </xf>
    <xf numFmtId="9" fontId="6" fillId="33" borderId="0" xfId="52" applyFont="1" applyFill="1" applyAlignment="1">
      <alignment vertical="center"/>
    </xf>
    <xf numFmtId="200" fontId="0" fillId="0" borderId="0" xfId="0" applyNumberFormat="1" applyAlignment="1">
      <alignment/>
    </xf>
    <xf numFmtId="194" fontId="8" fillId="0" borderId="39" xfId="0" applyNumberFormat="1" applyFont="1" applyFill="1" applyBorder="1" applyAlignment="1">
      <alignment horizontal="center" vertical="center"/>
    </xf>
    <xf numFmtId="194" fontId="8" fillId="0" borderId="44" xfId="0" applyNumberFormat="1" applyFont="1" applyFill="1" applyBorder="1" applyAlignment="1">
      <alignment vertical="center"/>
    </xf>
    <xf numFmtId="194" fontId="8" fillId="34" borderId="44" xfId="0" applyNumberFormat="1" applyFont="1" applyFill="1" applyBorder="1" applyAlignment="1">
      <alignment vertical="center"/>
    </xf>
    <xf numFmtId="194" fontId="8" fillId="34" borderId="32" xfId="0" applyNumberFormat="1" applyFont="1" applyFill="1" applyBorder="1" applyAlignment="1">
      <alignment horizontal="center" vertical="center"/>
    </xf>
    <xf numFmtId="220" fontId="6" fillId="33" borderId="0" xfId="0" applyNumberFormat="1" applyFont="1" applyFill="1" applyAlignment="1">
      <alignment horizontal="center" vertical="center"/>
    </xf>
    <xf numFmtId="220" fontId="6" fillId="33" borderId="0" xfId="0" applyNumberFormat="1" applyFont="1" applyFill="1" applyAlignment="1">
      <alignment vertical="center"/>
    </xf>
    <xf numFmtId="205" fontId="9" fillId="0" borderId="19" xfId="0" applyNumberFormat="1" applyFont="1" applyFill="1" applyBorder="1" applyAlignment="1">
      <alignment horizontal="right" vertical="center"/>
    </xf>
    <xf numFmtId="199" fontId="8" fillId="0" borderId="25" xfId="0" applyNumberFormat="1" applyFont="1" applyFill="1" applyBorder="1" applyAlignment="1">
      <alignment vertical="center"/>
    </xf>
    <xf numFmtId="199" fontId="8" fillId="0" borderId="25" xfId="0" applyNumberFormat="1" applyFont="1" applyFill="1" applyBorder="1" applyAlignment="1">
      <alignment horizontal="right" vertical="center"/>
    </xf>
    <xf numFmtId="216" fontId="4" fillId="0" borderId="13" xfId="0" applyNumberFormat="1" applyFont="1" applyFill="1" applyBorder="1" applyAlignment="1">
      <alignment horizontal="right"/>
    </xf>
    <xf numFmtId="197" fontId="4" fillId="0" borderId="13" xfId="0" applyNumberFormat="1" applyFont="1" applyFill="1" applyBorder="1" applyAlignment="1">
      <alignment/>
    </xf>
    <xf numFmtId="216" fontId="4" fillId="0" borderId="12" xfId="0" applyNumberFormat="1" applyFont="1" applyFill="1" applyBorder="1" applyAlignment="1">
      <alignment horizontal="right"/>
    </xf>
    <xf numFmtId="0" fontId="7" fillId="33" borderId="25" xfId="0" applyFont="1" applyFill="1" applyBorder="1" applyAlignment="1">
      <alignment horizontal="center"/>
    </xf>
    <xf numFmtId="9" fontId="6" fillId="33" borderId="0" xfId="0" applyNumberFormat="1" applyFont="1" applyFill="1" applyAlignment="1">
      <alignment vertical="center"/>
    </xf>
    <xf numFmtId="0" fontId="4" fillId="34" borderId="12" xfId="0" applyFont="1" applyFill="1" applyBorder="1" applyAlignment="1">
      <alignment horizontal="right" indent="1"/>
    </xf>
    <xf numFmtId="201" fontId="6" fillId="34" borderId="0" xfId="0" applyNumberFormat="1" applyFont="1" applyFill="1" applyAlignment="1">
      <alignment horizontal="center" vertical="center"/>
    </xf>
    <xf numFmtId="1" fontId="8" fillId="34" borderId="14" xfId="0" applyNumberFormat="1" applyFont="1" applyFill="1" applyBorder="1" applyAlignment="1">
      <alignment horizontal="center"/>
    </xf>
    <xf numFmtId="198" fontId="19" fillId="33" borderId="13" xfId="0" applyNumberFormat="1" applyFont="1" applyFill="1" applyBorder="1" applyAlignment="1">
      <alignment vertical="center"/>
    </xf>
    <xf numFmtId="198" fontId="19" fillId="33" borderId="11" xfId="0" applyNumberFormat="1" applyFont="1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198" fontId="18" fillId="33" borderId="14" xfId="0" applyNumberFormat="1" applyFont="1" applyFill="1" applyBorder="1" applyAlignment="1">
      <alignment vertical="center"/>
    </xf>
    <xf numFmtId="0" fontId="18" fillId="33" borderId="26" xfId="0" applyFont="1" applyFill="1" applyBorder="1" applyAlignment="1">
      <alignment vertical="center"/>
    </xf>
    <xf numFmtId="205" fontId="6" fillId="33" borderId="0" xfId="0" applyNumberFormat="1" applyFont="1" applyFill="1" applyAlignment="1">
      <alignment vertical="center"/>
    </xf>
    <xf numFmtId="4" fontId="6" fillId="33" borderId="0" xfId="0" applyNumberFormat="1" applyFont="1" applyFill="1" applyAlignment="1">
      <alignment vertical="center"/>
    </xf>
    <xf numFmtId="201" fontId="8" fillId="33" borderId="0" xfId="0" applyNumberFormat="1" applyFont="1" applyFill="1" applyBorder="1" applyAlignment="1">
      <alignment horizontal="center" vertical="center"/>
    </xf>
    <xf numFmtId="201" fontId="8" fillId="33" borderId="0" xfId="0" applyNumberFormat="1" applyFont="1" applyFill="1" applyBorder="1" applyAlignment="1">
      <alignment horizontal="right" vertical="center"/>
    </xf>
    <xf numFmtId="201" fontId="7" fillId="33" borderId="46" xfId="0" applyNumberFormat="1" applyFont="1" applyFill="1" applyBorder="1" applyAlignment="1">
      <alignment horizontal="center" vertical="center" wrapText="1"/>
    </xf>
    <xf numFmtId="201" fontId="7" fillId="33" borderId="18" xfId="0" applyNumberFormat="1" applyFont="1" applyFill="1" applyBorder="1" applyAlignment="1">
      <alignment horizontal="center" vertical="center" wrapText="1"/>
    </xf>
    <xf numFmtId="201" fontId="7" fillId="33" borderId="47" xfId="0" applyNumberFormat="1" applyFont="1" applyFill="1" applyBorder="1" applyAlignment="1">
      <alignment horizontal="center" vertical="center" wrapText="1"/>
    </xf>
    <xf numFmtId="201" fontId="20" fillId="33" borderId="0" xfId="0" applyNumberFormat="1" applyFont="1" applyFill="1" applyBorder="1" applyAlignment="1">
      <alignment horizontal="center" vertical="center"/>
    </xf>
    <xf numFmtId="209" fontId="8" fillId="33" borderId="29" xfId="0" applyNumberFormat="1" applyFont="1" applyFill="1" applyBorder="1" applyAlignment="1">
      <alignment horizontal="center" vertical="center"/>
    </xf>
    <xf numFmtId="209" fontId="8" fillId="33" borderId="32" xfId="0" applyNumberFormat="1" applyFont="1" applyFill="1" applyBorder="1" applyAlignment="1">
      <alignment horizontal="center" vertical="center"/>
    </xf>
    <xf numFmtId="201" fontId="5" fillId="33" borderId="0" xfId="0" applyNumberFormat="1" applyFont="1" applyFill="1" applyBorder="1" applyAlignment="1">
      <alignment horizontal="center" vertical="center"/>
    </xf>
    <xf numFmtId="201" fontId="7" fillId="33" borderId="34" xfId="0" applyNumberFormat="1" applyFont="1" applyFill="1" applyBorder="1" applyAlignment="1">
      <alignment horizontal="center" vertical="center"/>
    </xf>
    <xf numFmtId="201" fontId="7" fillId="33" borderId="16" xfId="0" applyNumberFormat="1" applyFont="1" applyFill="1" applyBorder="1" applyAlignment="1">
      <alignment horizontal="center" vertical="center"/>
    </xf>
    <xf numFmtId="201" fontId="7" fillId="33" borderId="17" xfId="0" applyNumberFormat="1" applyFont="1" applyFill="1" applyBorder="1" applyAlignment="1">
      <alignment horizontal="center" vertical="center"/>
    </xf>
    <xf numFmtId="201" fontId="7" fillId="33" borderId="0" xfId="0" applyNumberFormat="1" applyFont="1" applyFill="1" applyBorder="1" applyAlignment="1">
      <alignment horizontal="center" vertical="center"/>
    </xf>
    <xf numFmtId="201" fontId="7" fillId="33" borderId="30" xfId="0" applyNumberFormat="1" applyFont="1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 readingOrder="2"/>
    </xf>
    <xf numFmtId="17" fontId="7" fillId="33" borderId="0" xfId="0" applyNumberFormat="1" applyFont="1" applyFill="1" applyBorder="1" applyAlignment="1" quotePrefix="1">
      <alignment horizontal="center"/>
    </xf>
    <xf numFmtId="195" fontId="7" fillId="33" borderId="20" xfId="0" applyNumberFormat="1" applyFont="1" applyFill="1" applyBorder="1" applyAlignment="1">
      <alignment horizontal="center"/>
    </xf>
    <xf numFmtId="195" fontId="7" fillId="33" borderId="21" xfId="0" applyNumberFormat="1" applyFont="1" applyFill="1" applyBorder="1" applyAlignment="1">
      <alignment horizontal="center"/>
    </xf>
    <xf numFmtId="195" fontId="7" fillId="33" borderId="26" xfId="0" applyNumberFormat="1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195" fontId="7" fillId="33" borderId="27" xfId="0" applyNumberFormat="1" applyFont="1" applyFill="1" applyBorder="1" applyAlignment="1">
      <alignment horizontal="center"/>
    </xf>
    <xf numFmtId="195" fontId="7" fillId="33" borderId="48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201" fontId="5" fillId="33" borderId="15" xfId="0" applyNumberFormat="1" applyFont="1" applyFill="1" applyBorder="1" applyAlignment="1">
      <alignment horizontal="center" vertical="center"/>
    </xf>
    <xf numFmtId="201" fontId="5" fillId="33" borderId="23" xfId="0" applyNumberFormat="1" applyFont="1" applyFill="1" applyBorder="1" applyAlignment="1">
      <alignment horizontal="center" vertical="center" wrapText="1"/>
    </xf>
    <xf numFmtId="201" fontId="5" fillId="33" borderId="10" xfId="0" applyNumberFormat="1" applyFont="1" applyFill="1" applyBorder="1" applyAlignment="1">
      <alignment horizontal="center" vertical="center" wrapText="1"/>
    </xf>
    <xf numFmtId="201" fontId="5" fillId="33" borderId="20" xfId="0" applyNumberFormat="1" applyFont="1" applyFill="1" applyBorder="1" applyAlignment="1">
      <alignment horizontal="center" vertical="center" wrapText="1"/>
    </xf>
    <xf numFmtId="201" fontId="5" fillId="33" borderId="22" xfId="0" applyNumberFormat="1" applyFont="1" applyFill="1" applyBorder="1" applyAlignment="1">
      <alignment horizontal="center" vertical="center" wrapText="1"/>
    </xf>
    <xf numFmtId="201" fontId="5" fillId="33" borderId="0" xfId="0" applyNumberFormat="1" applyFont="1" applyFill="1" applyBorder="1" applyAlignment="1">
      <alignment horizontal="right" vertical="center"/>
    </xf>
    <xf numFmtId="201" fontId="5" fillId="33" borderId="23" xfId="0" applyNumberFormat="1" applyFont="1" applyFill="1" applyBorder="1" applyAlignment="1">
      <alignment horizontal="center" vertical="center"/>
    </xf>
    <xf numFmtId="201" fontId="5" fillId="33" borderId="10" xfId="0" applyNumberFormat="1" applyFont="1" applyFill="1" applyBorder="1" applyAlignment="1">
      <alignment horizontal="center" vertical="center"/>
    </xf>
    <xf numFmtId="201" fontId="5" fillId="33" borderId="20" xfId="0" applyNumberFormat="1" applyFont="1" applyFill="1" applyBorder="1" applyAlignment="1">
      <alignment horizontal="center" vertical="center"/>
    </xf>
    <xf numFmtId="201" fontId="5" fillId="33" borderId="22" xfId="0" applyNumberFormat="1" applyFont="1" applyFill="1" applyBorder="1" applyAlignment="1">
      <alignment horizontal="center" vertical="center"/>
    </xf>
    <xf numFmtId="201" fontId="6" fillId="33" borderId="20" xfId="0" applyNumberFormat="1" applyFont="1" applyFill="1" applyBorder="1" applyAlignment="1">
      <alignment horizontal="center" vertical="center"/>
    </xf>
    <xf numFmtId="201" fontId="6" fillId="33" borderId="22" xfId="0" applyNumberFormat="1" applyFont="1" applyFill="1" applyBorder="1" applyAlignment="1">
      <alignment horizontal="center" vertical="center"/>
    </xf>
    <xf numFmtId="201" fontId="5" fillId="33" borderId="25" xfId="0" applyNumberFormat="1" applyFont="1" applyFill="1" applyBorder="1" applyAlignment="1">
      <alignment horizontal="center" vertical="center"/>
    </xf>
    <xf numFmtId="201" fontId="5" fillId="33" borderId="19" xfId="0" applyNumberFormat="1" applyFont="1" applyFill="1" applyBorder="1" applyAlignment="1">
      <alignment horizontal="center" vertical="center"/>
    </xf>
    <xf numFmtId="201" fontId="8" fillId="33" borderId="11" xfId="0" applyNumberFormat="1" applyFont="1" applyFill="1" applyBorder="1" applyAlignment="1">
      <alignment horizontal="center" vertical="center"/>
    </xf>
    <xf numFmtId="201" fontId="6" fillId="33" borderId="12" xfId="0" applyNumberFormat="1" applyFont="1" applyFill="1" applyBorder="1" applyAlignment="1">
      <alignment horizontal="center" vertical="center"/>
    </xf>
    <xf numFmtId="201" fontId="6" fillId="33" borderId="13" xfId="0" applyNumberFormat="1" applyFont="1" applyFill="1" applyBorder="1" applyAlignment="1">
      <alignment vertical="center"/>
    </xf>
    <xf numFmtId="201" fontId="6" fillId="33" borderId="20" xfId="0" applyNumberFormat="1" applyFont="1" applyFill="1" applyBorder="1" applyAlignment="1">
      <alignment horizontal="center" vertical="center" wrapText="1"/>
    </xf>
    <xf numFmtId="201" fontId="6" fillId="33" borderId="22" xfId="0" applyNumberFormat="1" applyFont="1" applyFill="1" applyBorder="1" applyAlignment="1">
      <alignment horizontal="center" vertical="center" wrapText="1"/>
    </xf>
    <xf numFmtId="201" fontId="7" fillId="33" borderId="12" xfId="0" applyNumberFormat="1" applyFont="1" applyFill="1" applyBorder="1" applyAlignment="1">
      <alignment horizontal="center" vertical="center"/>
    </xf>
    <xf numFmtId="201" fontId="7" fillId="33" borderId="13" xfId="0" applyNumberFormat="1" applyFont="1" applyFill="1" applyBorder="1" applyAlignment="1">
      <alignment horizontal="center" vertical="center"/>
    </xf>
    <xf numFmtId="201" fontId="7" fillId="33" borderId="11" xfId="0" applyNumberFormat="1" applyFont="1" applyFill="1" applyBorder="1" applyAlignment="1">
      <alignment horizontal="center" vertical="center"/>
    </xf>
    <xf numFmtId="0" fontId="7" fillId="34" borderId="20" xfId="0" applyNumberFormat="1" applyFont="1" applyFill="1" applyBorder="1" applyAlignment="1">
      <alignment horizontal="center" vertical="center"/>
    </xf>
    <xf numFmtId="0" fontId="7" fillId="34" borderId="48" xfId="0" applyNumberFormat="1" applyFont="1" applyFill="1" applyBorder="1" applyAlignment="1">
      <alignment horizontal="center" vertical="center"/>
    </xf>
    <xf numFmtId="0" fontId="7" fillId="33" borderId="27" xfId="0" applyNumberFormat="1" applyFont="1" applyFill="1" applyBorder="1" applyAlignment="1">
      <alignment horizontal="center" vertical="center"/>
    </xf>
    <xf numFmtId="0" fontId="7" fillId="33" borderId="26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/>
    </xf>
    <xf numFmtId="201" fontId="10" fillId="33" borderId="25" xfId="0" applyNumberFormat="1" applyFont="1" applyFill="1" applyBorder="1" applyAlignment="1">
      <alignment horizontal="center" vertical="center"/>
    </xf>
    <xf numFmtId="201" fontId="10" fillId="33" borderId="19" xfId="0" applyNumberFormat="1" applyFont="1" applyFill="1" applyBorder="1" applyAlignment="1">
      <alignment horizontal="center" vertical="center"/>
    </xf>
    <xf numFmtId="0" fontId="8" fillId="33" borderId="20" xfId="0" applyNumberFormat="1" applyFont="1" applyFill="1" applyBorder="1" applyAlignment="1">
      <alignment horizontal="center" vertical="center"/>
    </xf>
    <xf numFmtId="0" fontId="8" fillId="33" borderId="22" xfId="0" applyNumberFormat="1" applyFont="1" applyFill="1" applyBorder="1" applyAlignment="1">
      <alignment horizontal="center" vertical="center"/>
    </xf>
    <xf numFmtId="213" fontId="9" fillId="33" borderId="23" xfId="0" applyNumberFormat="1" applyFont="1" applyFill="1" applyBorder="1" applyAlignment="1">
      <alignment horizontal="center" vertical="center"/>
    </xf>
    <xf numFmtId="213" fontId="9" fillId="33" borderId="10" xfId="0" applyNumberFormat="1" applyFont="1" applyFill="1" applyBorder="1" applyAlignment="1">
      <alignment horizontal="center" vertical="center"/>
    </xf>
    <xf numFmtId="213" fontId="9" fillId="33" borderId="25" xfId="0" applyNumberFormat="1" applyFont="1" applyFill="1" applyBorder="1" applyAlignment="1">
      <alignment horizontal="center" vertical="center"/>
    </xf>
    <xf numFmtId="213" fontId="9" fillId="33" borderId="19" xfId="0" applyNumberFormat="1" applyFont="1" applyFill="1" applyBorder="1" applyAlignment="1">
      <alignment horizontal="center" vertical="center"/>
    </xf>
    <xf numFmtId="213" fontId="9" fillId="33" borderId="20" xfId="0" applyNumberFormat="1" applyFont="1" applyFill="1" applyBorder="1" applyAlignment="1">
      <alignment horizontal="center" vertical="center"/>
    </xf>
    <xf numFmtId="213" fontId="9" fillId="33" borderId="22" xfId="0" applyNumberFormat="1" applyFont="1" applyFill="1" applyBorder="1" applyAlignment="1">
      <alignment horizontal="center" vertical="center"/>
    </xf>
    <xf numFmtId="201" fontId="6" fillId="33" borderId="27" xfId="0" applyNumberFormat="1" applyFont="1" applyFill="1" applyBorder="1" applyAlignment="1">
      <alignment horizontal="center" vertical="center"/>
    </xf>
    <xf numFmtId="201" fontId="6" fillId="33" borderId="26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 readingOrder="2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vertical="center"/>
    </xf>
    <xf numFmtId="0" fontId="25" fillId="33" borderId="0" xfId="0" applyFont="1" applyFill="1" applyBorder="1" applyAlignment="1">
      <alignment horizontal="right" vertical="center"/>
    </xf>
    <xf numFmtId="0" fontId="18" fillId="0" borderId="46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205" fontId="26" fillId="0" borderId="27" xfId="0" applyNumberFormat="1" applyFont="1" applyBorder="1" applyAlignment="1">
      <alignment vertical="center"/>
    </xf>
    <xf numFmtId="205" fontId="26" fillId="0" borderId="26" xfId="0" applyNumberFormat="1" applyFont="1" applyBorder="1" applyAlignment="1">
      <alignment vertical="center"/>
    </xf>
    <xf numFmtId="205" fontId="19" fillId="0" borderId="20" xfId="0" applyNumberFormat="1" applyFont="1" applyBorder="1" applyAlignment="1">
      <alignment vertical="center"/>
    </xf>
    <xf numFmtId="205" fontId="19" fillId="0" borderId="22" xfId="0" applyNumberFormat="1" applyFont="1" applyBorder="1" applyAlignment="1">
      <alignment vertical="center"/>
    </xf>
    <xf numFmtId="201" fontId="28" fillId="33" borderId="0" xfId="0" applyNumberFormat="1" applyFont="1" applyFill="1" applyBorder="1" applyAlignment="1">
      <alignment horizontal="center" vertical="center"/>
    </xf>
    <xf numFmtId="205" fontId="19" fillId="0" borderId="50" xfId="0" applyNumberFormat="1" applyFont="1" applyBorder="1" applyAlignment="1">
      <alignment vertical="center"/>
    </xf>
    <xf numFmtId="205" fontId="19" fillId="0" borderId="51" xfId="0" applyNumberFormat="1" applyFont="1" applyBorder="1" applyAlignment="1">
      <alignment vertical="center"/>
    </xf>
    <xf numFmtId="216" fontId="26" fillId="0" borderId="27" xfId="0" applyNumberFormat="1" applyFont="1" applyBorder="1" applyAlignment="1">
      <alignment horizontal="right" vertical="center"/>
    </xf>
    <xf numFmtId="216" fontId="26" fillId="0" borderId="26" xfId="0" applyNumberFormat="1" applyFont="1" applyBorder="1" applyAlignment="1">
      <alignment horizontal="right" vertical="center"/>
    </xf>
    <xf numFmtId="0" fontId="28" fillId="33" borderId="0" xfId="0" applyFont="1" applyFill="1" applyBorder="1" applyAlignment="1">
      <alignment horizontal="center" vertical="center"/>
    </xf>
    <xf numFmtId="0" fontId="18" fillId="33" borderId="50" xfId="0" applyFont="1" applyFill="1" applyBorder="1" applyAlignment="1">
      <alignment horizontal="center" vertical="center"/>
    </xf>
    <xf numFmtId="0" fontId="18" fillId="33" borderId="52" xfId="0" applyFont="1" applyFill="1" applyBorder="1" applyAlignment="1">
      <alignment horizontal="center" vertical="center"/>
    </xf>
    <xf numFmtId="0" fontId="18" fillId="33" borderId="51" xfId="0" applyFont="1" applyFill="1" applyBorder="1" applyAlignment="1">
      <alignment horizontal="center" vertical="center"/>
    </xf>
    <xf numFmtId="0" fontId="18" fillId="33" borderId="53" xfId="0" applyFont="1" applyFill="1" applyBorder="1" applyAlignment="1">
      <alignment horizontal="center" vertical="center"/>
    </xf>
    <xf numFmtId="216" fontId="27" fillId="0" borderId="54" xfId="0" applyNumberFormat="1" applyFont="1" applyBorder="1" applyAlignment="1">
      <alignment horizontal="right" vertical="center"/>
    </xf>
    <xf numFmtId="216" fontId="27" fillId="0" borderId="55" xfId="0" applyNumberFormat="1" applyFont="1" applyBorder="1" applyAlignment="1">
      <alignment horizontal="right" vertical="center"/>
    </xf>
    <xf numFmtId="0" fontId="19" fillId="33" borderId="27" xfId="0" applyFont="1" applyFill="1" applyBorder="1" applyAlignment="1">
      <alignment horizontal="right" vertical="center"/>
    </xf>
    <xf numFmtId="0" fontId="19" fillId="33" borderId="48" xfId="0" applyFont="1" applyFill="1" applyBorder="1" applyAlignment="1">
      <alignment horizontal="right" vertical="center"/>
    </xf>
    <xf numFmtId="0" fontId="19" fillId="33" borderId="26" xfId="0" applyFont="1" applyFill="1" applyBorder="1" applyAlignment="1">
      <alignment horizontal="right" vertical="center"/>
    </xf>
    <xf numFmtId="0" fontId="18" fillId="33" borderId="27" xfId="0" applyFont="1" applyFill="1" applyBorder="1" applyAlignment="1">
      <alignment horizontal="right" vertical="center"/>
    </xf>
    <xf numFmtId="0" fontId="18" fillId="33" borderId="48" xfId="0" applyFont="1" applyFill="1" applyBorder="1" applyAlignment="1">
      <alignment horizontal="right" vertical="center"/>
    </xf>
    <xf numFmtId="0" fontId="18" fillId="33" borderId="26" xfId="0" applyFont="1" applyFill="1" applyBorder="1" applyAlignment="1">
      <alignment horizontal="right" vertical="center"/>
    </xf>
    <xf numFmtId="0" fontId="18" fillId="33" borderId="56" xfId="0" applyFont="1" applyFill="1" applyBorder="1" applyAlignment="1">
      <alignment horizontal="center" vertical="center"/>
    </xf>
    <xf numFmtId="0" fontId="18" fillId="33" borderId="54" xfId="0" applyFont="1" applyFill="1" applyBorder="1" applyAlignment="1">
      <alignment horizontal="center" vertical="center"/>
    </xf>
    <xf numFmtId="0" fontId="18" fillId="33" borderId="57" xfId="0" applyFont="1" applyFill="1" applyBorder="1" applyAlignment="1">
      <alignment horizontal="center" vertical="center"/>
    </xf>
    <xf numFmtId="0" fontId="18" fillId="33" borderId="58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right" vertical="center"/>
    </xf>
    <xf numFmtId="0" fontId="19" fillId="33" borderId="21" xfId="0" applyFont="1" applyFill="1" applyBorder="1" applyAlignment="1">
      <alignment horizontal="right" vertical="center"/>
    </xf>
    <xf numFmtId="0" fontId="19" fillId="33" borderId="22" xfId="0" applyFont="1" applyFill="1" applyBorder="1" applyAlignment="1">
      <alignment horizontal="right" vertical="center"/>
    </xf>
    <xf numFmtId="0" fontId="5" fillId="33" borderId="16" xfId="0" applyFont="1" applyFill="1" applyBorder="1" applyAlignment="1">
      <alignment horizontal="center"/>
    </xf>
    <xf numFmtId="0" fontId="18" fillId="0" borderId="59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205" fontId="26" fillId="0" borderId="62" xfId="0" applyNumberFormat="1" applyFont="1" applyBorder="1" applyAlignment="1">
      <alignment vertical="center"/>
    </xf>
    <xf numFmtId="205" fontId="27" fillId="0" borderId="27" xfId="0" applyNumberFormat="1" applyFont="1" applyBorder="1" applyAlignment="1">
      <alignment vertical="center"/>
    </xf>
    <xf numFmtId="205" fontId="27" fillId="0" borderId="26" xfId="0" applyNumberFormat="1" applyFont="1" applyBorder="1" applyAlignment="1">
      <alignment vertical="center"/>
    </xf>
    <xf numFmtId="0" fontId="26" fillId="0" borderId="27" xfId="0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205" fontId="27" fillId="0" borderId="62" xfId="0" applyNumberFormat="1" applyFont="1" applyBorder="1" applyAlignment="1">
      <alignment vertical="center"/>
    </xf>
    <xf numFmtId="0" fontId="26" fillId="0" borderId="62" xfId="0" applyFont="1" applyBorder="1" applyAlignment="1">
      <alignment vertical="center"/>
    </xf>
    <xf numFmtId="0" fontId="25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17</xdr:col>
      <xdr:colOff>0</xdr:colOff>
      <xdr:row>47</xdr:row>
      <xdr:rowOff>66675</xdr:rowOff>
    </xdr:to>
    <xdr:sp>
      <xdr:nvSpPr>
        <xdr:cNvPr id="1" name="Rectangle 2"/>
        <xdr:cNvSpPr>
          <a:spLocks/>
        </xdr:cNvSpPr>
      </xdr:nvSpPr>
      <xdr:spPr>
        <a:xfrm>
          <a:off x="66675" y="0"/>
          <a:ext cx="8296275" cy="1197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361950</xdr:colOff>
      <xdr:row>47</xdr:row>
      <xdr:rowOff>0</xdr:rowOff>
    </xdr:to>
    <xdr:sp>
      <xdr:nvSpPr>
        <xdr:cNvPr id="2" name="Rectangle 3"/>
        <xdr:cNvSpPr>
          <a:spLocks/>
        </xdr:cNvSpPr>
      </xdr:nvSpPr>
      <xdr:spPr>
        <a:xfrm>
          <a:off x="0" y="0"/>
          <a:ext cx="8277225" cy="11906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19050</xdr:rowOff>
    </xdr:from>
    <xdr:to>
      <xdr:col>11</xdr:col>
      <xdr:colOff>209550</xdr:colOff>
      <xdr:row>57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95250" y="19050"/>
          <a:ext cx="7248525" cy="11430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0</xdr:row>
      <xdr:rowOff>85725</xdr:rowOff>
    </xdr:from>
    <xdr:to>
      <xdr:col>11</xdr:col>
      <xdr:colOff>276225</xdr:colOff>
      <xdr:row>57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161925" y="85725"/>
          <a:ext cx="7248525" cy="11382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400050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1077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390525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1068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18</xdr:col>
      <xdr:colOff>19050</xdr:colOff>
      <xdr:row>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38100" y="0"/>
          <a:ext cx="11268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0</xdr:colOff>
      <xdr:row>46</xdr:row>
      <xdr:rowOff>0</xdr:rowOff>
    </xdr:to>
    <xdr:sp>
      <xdr:nvSpPr>
        <xdr:cNvPr id="4" name="Rectangle 7"/>
        <xdr:cNvSpPr>
          <a:spLocks/>
        </xdr:cNvSpPr>
      </xdr:nvSpPr>
      <xdr:spPr>
        <a:xfrm>
          <a:off x="0" y="0"/>
          <a:ext cx="9286875" cy="7696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15</xdr:col>
      <xdr:colOff>0</xdr:colOff>
      <xdr:row>44</xdr:row>
      <xdr:rowOff>0</xdr:rowOff>
    </xdr:to>
    <xdr:sp>
      <xdr:nvSpPr>
        <xdr:cNvPr id="5" name="Rectangle 8"/>
        <xdr:cNvSpPr>
          <a:spLocks/>
        </xdr:cNvSpPr>
      </xdr:nvSpPr>
      <xdr:spPr>
        <a:xfrm>
          <a:off x="38100" y="38100"/>
          <a:ext cx="9248775" cy="7658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171700" y="0"/>
          <a:ext cx="7219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2171700" y="0"/>
          <a:ext cx="7219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0</xdr:rowOff>
    </xdr:from>
    <xdr:to>
      <xdr:col>9</xdr:col>
      <xdr:colOff>0</xdr:colOff>
      <xdr:row>56</xdr:row>
      <xdr:rowOff>123825</xdr:rowOff>
    </xdr:to>
    <xdr:sp>
      <xdr:nvSpPr>
        <xdr:cNvPr id="3" name="Rectangle 4"/>
        <xdr:cNvSpPr>
          <a:spLocks/>
        </xdr:cNvSpPr>
      </xdr:nvSpPr>
      <xdr:spPr>
        <a:xfrm>
          <a:off x="85725" y="0"/>
          <a:ext cx="7610475" cy="1178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38100</xdr:rowOff>
    </xdr:from>
    <xdr:to>
      <xdr:col>8</xdr:col>
      <xdr:colOff>647700</xdr:colOff>
      <xdr:row>56</xdr:row>
      <xdr:rowOff>76200</xdr:rowOff>
    </xdr:to>
    <xdr:sp>
      <xdr:nvSpPr>
        <xdr:cNvPr id="4" name="Rectangle 5"/>
        <xdr:cNvSpPr>
          <a:spLocks/>
        </xdr:cNvSpPr>
      </xdr:nvSpPr>
      <xdr:spPr>
        <a:xfrm>
          <a:off x="66675" y="38100"/>
          <a:ext cx="7562850" cy="1169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142875</xdr:colOff>
      <xdr:row>46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28575" y="0"/>
          <a:ext cx="8172450" cy="1172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38100</xdr:rowOff>
    </xdr:from>
    <xdr:to>
      <xdr:col>10</xdr:col>
      <xdr:colOff>209550</xdr:colOff>
      <xdr:row>46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57150" y="38100"/>
          <a:ext cx="8210550" cy="1172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9</xdr:col>
      <xdr:colOff>323850</xdr:colOff>
      <xdr:row>49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0" y="76200"/>
          <a:ext cx="6772275" cy="10677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133350</xdr:rowOff>
    </xdr:from>
    <xdr:to>
      <xdr:col>9</xdr:col>
      <xdr:colOff>323850</xdr:colOff>
      <xdr:row>49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19050" y="133350"/>
          <a:ext cx="6753225" cy="10648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114300</xdr:rowOff>
    </xdr:from>
    <xdr:to>
      <xdr:col>9</xdr:col>
      <xdr:colOff>314325</xdr:colOff>
      <xdr:row>49</xdr:row>
      <xdr:rowOff>47625</xdr:rowOff>
    </xdr:to>
    <xdr:sp>
      <xdr:nvSpPr>
        <xdr:cNvPr id="3" name="Rectangle 3"/>
        <xdr:cNvSpPr>
          <a:spLocks/>
        </xdr:cNvSpPr>
      </xdr:nvSpPr>
      <xdr:spPr>
        <a:xfrm>
          <a:off x="66675" y="114300"/>
          <a:ext cx="6696075" cy="10668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28575</xdr:colOff>
      <xdr:row>46</xdr:row>
      <xdr:rowOff>9525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10610850" cy="773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76200</xdr:rowOff>
    </xdr:from>
    <xdr:to>
      <xdr:col>16</xdr:col>
      <xdr:colOff>9525</xdr:colOff>
      <xdr:row>44</xdr:row>
      <xdr:rowOff>0</xdr:rowOff>
    </xdr:to>
    <xdr:sp>
      <xdr:nvSpPr>
        <xdr:cNvPr id="2" name="Rectangle 3"/>
        <xdr:cNvSpPr>
          <a:spLocks/>
        </xdr:cNvSpPr>
      </xdr:nvSpPr>
      <xdr:spPr>
        <a:xfrm>
          <a:off x="38100" y="76200"/>
          <a:ext cx="10553700" cy="7648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400050</xdr:colOff>
      <xdr:row>0</xdr:row>
      <xdr:rowOff>0</xdr:rowOff>
    </xdr:to>
    <xdr:sp>
      <xdr:nvSpPr>
        <xdr:cNvPr id="3" name="Rectangle 28"/>
        <xdr:cNvSpPr>
          <a:spLocks/>
        </xdr:cNvSpPr>
      </xdr:nvSpPr>
      <xdr:spPr>
        <a:xfrm>
          <a:off x="0" y="0"/>
          <a:ext cx="11591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390525</xdr:colOff>
      <xdr:row>0</xdr:row>
      <xdr:rowOff>0</xdr:rowOff>
    </xdr:to>
    <xdr:sp>
      <xdr:nvSpPr>
        <xdr:cNvPr id="4" name="Rectangle 29"/>
        <xdr:cNvSpPr>
          <a:spLocks/>
        </xdr:cNvSpPr>
      </xdr:nvSpPr>
      <xdr:spPr>
        <a:xfrm>
          <a:off x="0" y="0"/>
          <a:ext cx="11582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18</xdr:col>
      <xdr:colOff>19050</xdr:colOff>
      <xdr:row>0</xdr:row>
      <xdr:rowOff>0</xdr:rowOff>
    </xdr:to>
    <xdr:sp>
      <xdr:nvSpPr>
        <xdr:cNvPr id="5" name="Rectangle 30"/>
        <xdr:cNvSpPr>
          <a:spLocks/>
        </xdr:cNvSpPr>
      </xdr:nvSpPr>
      <xdr:spPr>
        <a:xfrm>
          <a:off x="38100" y="0"/>
          <a:ext cx="11782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95250</xdr:colOff>
      <xdr:row>44</xdr:row>
      <xdr:rowOff>0</xdr:rowOff>
    </xdr:to>
    <xdr:sp>
      <xdr:nvSpPr>
        <xdr:cNvPr id="6" name="Rectangle 31"/>
        <xdr:cNvSpPr>
          <a:spLocks/>
        </xdr:cNvSpPr>
      </xdr:nvSpPr>
      <xdr:spPr>
        <a:xfrm>
          <a:off x="0" y="0"/>
          <a:ext cx="10677525" cy="772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76200</xdr:rowOff>
    </xdr:from>
    <xdr:to>
      <xdr:col>16</xdr:col>
      <xdr:colOff>0</xdr:colOff>
      <xdr:row>44</xdr:row>
      <xdr:rowOff>0</xdr:rowOff>
    </xdr:to>
    <xdr:sp>
      <xdr:nvSpPr>
        <xdr:cNvPr id="7" name="Rectangle 32"/>
        <xdr:cNvSpPr>
          <a:spLocks/>
        </xdr:cNvSpPr>
      </xdr:nvSpPr>
      <xdr:spPr>
        <a:xfrm>
          <a:off x="38100" y="76200"/>
          <a:ext cx="10544175" cy="7648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11</xdr:col>
      <xdr:colOff>1019175</xdr:colOff>
      <xdr:row>62</xdr:row>
      <xdr:rowOff>152400</xdr:rowOff>
    </xdr:to>
    <xdr:sp>
      <xdr:nvSpPr>
        <xdr:cNvPr id="1" name="Rectangle 8"/>
        <xdr:cNvSpPr>
          <a:spLocks/>
        </xdr:cNvSpPr>
      </xdr:nvSpPr>
      <xdr:spPr>
        <a:xfrm>
          <a:off x="66675" y="76200"/>
          <a:ext cx="10563225" cy="1607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142875</xdr:rowOff>
    </xdr:from>
    <xdr:to>
      <xdr:col>11</xdr:col>
      <xdr:colOff>1095375</xdr:colOff>
      <xdr:row>62</xdr:row>
      <xdr:rowOff>142875</xdr:rowOff>
    </xdr:to>
    <xdr:sp>
      <xdr:nvSpPr>
        <xdr:cNvPr id="2" name="Rectangle 9"/>
        <xdr:cNvSpPr>
          <a:spLocks/>
        </xdr:cNvSpPr>
      </xdr:nvSpPr>
      <xdr:spPr>
        <a:xfrm>
          <a:off x="142875" y="142875"/>
          <a:ext cx="10563225" cy="1600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view="pageBreakPreview" zoomScale="112" zoomScaleSheetLayoutView="112" zoomScalePageLayoutView="0" workbookViewId="0" topLeftCell="A1">
      <selection activeCell="C11" sqref="C11:D11"/>
    </sheetView>
  </sheetViews>
  <sheetFormatPr defaultColWidth="6.7109375" defaultRowHeight="12.75"/>
  <cols>
    <col min="1" max="1" width="2.8515625" style="26" customWidth="1"/>
    <col min="2" max="2" width="6.8515625" style="24" customWidth="1"/>
    <col min="3" max="4" width="10.28125" style="24" bestFit="1" customWidth="1"/>
    <col min="5" max="5" width="9.7109375" style="24" customWidth="1"/>
    <col min="6" max="6" width="9.57421875" style="24" bestFit="1" customWidth="1"/>
    <col min="7" max="7" width="9.8515625" style="24" customWidth="1"/>
    <col min="8" max="10" width="7.7109375" style="24" customWidth="1"/>
    <col min="11" max="11" width="7.28125" style="24" bestFit="1" customWidth="1"/>
    <col min="12" max="12" width="7.7109375" style="24" customWidth="1"/>
    <col min="13" max="13" width="8.140625" style="24" bestFit="1" customWidth="1"/>
    <col min="14" max="14" width="7.57421875" style="24" bestFit="1" customWidth="1"/>
    <col min="15" max="15" width="0.13671875" style="24" hidden="1" customWidth="1"/>
    <col min="16" max="16" width="5.421875" style="24" customWidth="1"/>
    <col min="17" max="17" width="6.7109375" style="26" customWidth="1"/>
    <col min="18" max="20" width="6.7109375" style="24" customWidth="1"/>
    <col min="21" max="21" width="7.28125" style="24" bestFit="1" customWidth="1"/>
    <col min="22" max="16384" width="6.7109375" style="24" customWidth="1"/>
  </cols>
  <sheetData>
    <row r="1" spans="2:16" ht="11.25" customHeight="1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2:16" ht="12.7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26" ht="15.75">
      <c r="A3" s="274" t="s">
        <v>24</v>
      </c>
      <c r="B3" s="274"/>
      <c r="C3" s="274"/>
      <c r="D3" s="274"/>
      <c r="E3" s="274"/>
      <c r="F3" s="274"/>
      <c r="G3" s="27"/>
      <c r="I3" s="67"/>
      <c r="J3" s="26"/>
      <c r="K3" s="275" t="s">
        <v>23</v>
      </c>
      <c r="L3" s="275"/>
      <c r="M3" s="275"/>
      <c r="N3" s="275"/>
      <c r="O3" s="275"/>
      <c r="P3" s="67"/>
      <c r="R3" s="26"/>
      <c r="S3" s="26"/>
      <c r="T3" s="26"/>
      <c r="U3" s="26"/>
      <c r="V3" s="26"/>
      <c r="W3" s="26"/>
      <c r="X3" s="26"/>
      <c r="Y3" s="26"/>
      <c r="Z3" s="26"/>
    </row>
    <row r="4" spans="1:26" ht="15.75">
      <c r="A4" s="274" t="s">
        <v>21</v>
      </c>
      <c r="B4" s="274"/>
      <c r="C4" s="274"/>
      <c r="D4" s="274"/>
      <c r="E4" s="274"/>
      <c r="F4" s="274"/>
      <c r="G4" s="27"/>
      <c r="I4" s="67"/>
      <c r="J4" s="275" t="s">
        <v>130</v>
      </c>
      <c r="K4" s="275"/>
      <c r="L4" s="275"/>
      <c r="M4" s="275"/>
      <c r="N4" s="275"/>
      <c r="O4" s="275"/>
      <c r="P4" s="67"/>
      <c r="R4" s="26"/>
      <c r="S4" s="26"/>
      <c r="T4" s="26"/>
      <c r="U4" s="26"/>
      <c r="V4" s="26"/>
      <c r="W4" s="26"/>
      <c r="X4" s="26"/>
      <c r="Y4" s="26"/>
      <c r="Z4" s="26"/>
    </row>
    <row r="5" spans="2:26" ht="50.25" customHeight="1">
      <c r="B5" s="26"/>
      <c r="C5" s="28" t="s">
        <v>0</v>
      </c>
      <c r="D5" s="28"/>
      <c r="E5" s="28"/>
      <c r="F5" s="28"/>
      <c r="G5" s="28"/>
      <c r="H5" s="28"/>
      <c r="I5" s="28"/>
      <c r="J5" s="29"/>
      <c r="K5" s="29"/>
      <c r="L5" s="29"/>
      <c r="M5" s="29"/>
      <c r="N5" s="29"/>
      <c r="O5" s="30"/>
      <c r="P5" s="26"/>
      <c r="R5" s="26"/>
      <c r="S5" s="26"/>
      <c r="T5" s="26"/>
      <c r="U5" s="26"/>
      <c r="V5" s="26"/>
      <c r="W5" s="26"/>
      <c r="X5" s="26"/>
      <c r="Y5" s="26"/>
      <c r="Z5" s="26"/>
    </row>
    <row r="6" spans="2:26" ht="15.75">
      <c r="B6" s="26"/>
      <c r="C6" s="28"/>
      <c r="D6" s="28"/>
      <c r="E6" s="28"/>
      <c r="F6" s="28"/>
      <c r="G6" s="28"/>
      <c r="H6" s="28"/>
      <c r="I6" s="28"/>
      <c r="J6" s="29"/>
      <c r="K6" s="29"/>
      <c r="L6" s="29"/>
      <c r="M6" s="29"/>
      <c r="N6" s="29"/>
      <c r="O6" s="30"/>
      <c r="P6" s="26"/>
      <c r="R6" s="26"/>
      <c r="S6" s="26"/>
      <c r="T6" s="26"/>
      <c r="U6" s="26"/>
      <c r="V6" s="26"/>
      <c r="W6" s="26"/>
      <c r="X6" s="26"/>
      <c r="Y6" s="26"/>
      <c r="Z6" s="26"/>
    </row>
    <row r="7" spans="2:26" ht="24.75" customHeight="1">
      <c r="B7" s="26"/>
      <c r="C7" s="279" t="s">
        <v>66</v>
      </c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104"/>
      <c r="O7" s="104"/>
      <c r="P7" s="104"/>
      <c r="R7" s="26"/>
      <c r="S7" s="26"/>
      <c r="T7" s="26"/>
      <c r="U7" s="26"/>
      <c r="V7" s="26"/>
      <c r="W7" s="26"/>
      <c r="X7" s="26"/>
      <c r="Y7" s="26"/>
      <c r="Z7" s="26"/>
    </row>
    <row r="8" spans="2:26" ht="26.25" customHeight="1">
      <c r="B8" s="26"/>
      <c r="C8" s="279" t="s">
        <v>134</v>
      </c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104"/>
      <c r="O8" s="104"/>
      <c r="P8" s="104"/>
      <c r="R8" s="26"/>
      <c r="S8" s="26"/>
      <c r="T8" s="26"/>
      <c r="U8" s="26"/>
      <c r="V8" s="26"/>
      <c r="W8" s="26"/>
      <c r="X8" s="26"/>
      <c r="Y8" s="26"/>
      <c r="Z8" s="26"/>
    </row>
    <row r="9" spans="2:26" ht="22.5">
      <c r="B9" s="26"/>
      <c r="C9" s="279" t="s">
        <v>142</v>
      </c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104"/>
      <c r="O9" s="104"/>
      <c r="P9" s="104"/>
      <c r="R9" s="26"/>
      <c r="S9" s="26"/>
      <c r="T9" s="26"/>
      <c r="U9" s="26"/>
      <c r="V9" s="26"/>
      <c r="W9" s="26"/>
      <c r="X9" s="26"/>
      <c r="Y9" s="26"/>
      <c r="Z9" s="26"/>
    </row>
    <row r="10" spans="2:26" ht="15.75">
      <c r="B10" s="26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R10" s="26"/>
      <c r="S10" s="26"/>
      <c r="T10" s="26"/>
      <c r="U10" s="26"/>
      <c r="V10" s="26"/>
      <c r="W10" s="26"/>
      <c r="X10" s="26"/>
      <c r="Y10" s="26"/>
      <c r="Z10" s="26"/>
    </row>
    <row r="11" spans="2:26" ht="16.5" thickBot="1">
      <c r="B11" s="26"/>
      <c r="C11" s="288" t="s">
        <v>145</v>
      </c>
      <c r="D11" s="288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R11" s="26"/>
      <c r="S11" s="26"/>
      <c r="T11" s="26"/>
      <c r="U11" s="26"/>
      <c r="V11" s="26"/>
      <c r="W11" s="26"/>
      <c r="X11" s="26"/>
      <c r="Y11" s="26"/>
      <c r="Z11" s="26"/>
    </row>
    <row r="12" spans="2:15" ht="24.75" customHeight="1">
      <c r="B12" s="26"/>
      <c r="C12" s="115" t="s">
        <v>39</v>
      </c>
      <c r="D12" s="116" t="s">
        <v>39</v>
      </c>
      <c r="E12" s="280">
        <v>2022</v>
      </c>
      <c r="F12" s="280">
        <v>2021</v>
      </c>
      <c r="G12" s="280">
        <v>2020</v>
      </c>
      <c r="H12" s="276" t="s">
        <v>38</v>
      </c>
      <c r="I12" s="277"/>
      <c r="J12" s="277"/>
      <c r="K12" s="277"/>
      <c r="L12" s="277"/>
      <c r="M12" s="278"/>
      <c r="N12" s="73"/>
      <c r="O12" s="72"/>
    </row>
    <row r="13" spans="2:15" ht="18.75" customHeight="1" thickBot="1">
      <c r="B13" s="26"/>
      <c r="C13" s="127" t="s">
        <v>138</v>
      </c>
      <c r="D13" s="128" t="s">
        <v>137</v>
      </c>
      <c r="E13" s="281"/>
      <c r="F13" s="281"/>
      <c r="G13" s="281"/>
      <c r="H13" s="283" t="s">
        <v>133</v>
      </c>
      <c r="I13" s="284"/>
      <c r="J13" s="284"/>
      <c r="K13" s="284"/>
      <c r="L13" s="284"/>
      <c r="M13" s="285"/>
      <c r="N13" s="67"/>
      <c r="O13" s="36"/>
    </row>
    <row r="14" spans="2:15" ht="18.75">
      <c r="B14" s="26"/>
      <c r="C14" s="126"/>
      <c r="D14" s="68"/>
      <c r="E14" s="68"/>
      <c r="F14" s="66"/>
      <c r="G14" s="92"/>
      <c r="H14" s="106"/>
      <c r="I14" s="103"/>
      <c r="J14" s="62"/>
      <c r="K14" s="286" t="s">
        <v>124</v>
      </c>
      <c r="L14" s="286"/>
      <c r="M14" s="287"/>
      <c r="N14" s="64"/>
      <c r="O14" s="72"/>
    </row>
    <row r="15" spans="2:15" ht="24.75" customHeight="1">
      <c r="B15" s="26"/>
      <c r="C15" s="219">
        <f>(E15-F15)/F15</f>
        <v>-0.0426662373208823</v>
      </c>
      <c r="D15" s="221">
        <f>(E15-G15)/G15</f>
        <v>0.025526043463263193</v>
      </c>
      <c r="E15" s="110">
        <f>'P6'!F45</f>
        <v>5946</v>
      </c>
      <c r="F15" s="110">
        <f>'P6'!G45</f>
        <v>6211</v>
      </c>
      <c r="G15" s="111">
        <v>5798</v>
      </c>
      <c r="H15" s="107"/>
      <c r="I15" s="62"/>
      <c r="J15" s="62"/>
      <c r="K15" s="62"/>
      <c r="L15" s="62" t="s">
        <v>41</v>
      </c>
      <c r="M15" s="117"/>
      <c r="N15" s="64"/>
      <c r="O15" s="36"/>
    </row>
    <row r="16" spans="2:15" ht="24.75" customHeight="1">
      <c r="B16" s="26"/>
      <c r="C16" s="219">
        <f>(E16-F16)/F16</f>
        <v>0.014766248074743193</v>
      </c>
      <c r="D16" s="221">
        <f>(E16-G16)/G16</f>
        <v>0.16481099511823033</v>
      </c>
      <c r="E16" s="110">
        <f>'P6'!C45</f>
        <v>1218551.8800000001</v>
      </c>
      <c r="F16" s="110">
        <f>'P6'!D45</f>
        <v>1200820.27</v>
      </c>
      <c r="G16" s="112">
        <v>1046137</v>
      </c>
      <c r="H16" s="107"/>
      <c r="I16" s="62"/>
      <c r="J16" s="62"/>
      <c r="K16" s="62"/>
      <c r="L16" s="62" t="s">
        <v>40</v>
      </c>
      <c r="M16" s="117"/>
      <c r="N16" s="64"/>
      <c r="O16" s="36"/>
    </row>
    <row r="17" spans="2:15" ht="18.75">
      <c r="B17" s="26"/>
      <c r="C17" s="220"/>
      <c r="D17" s="114"/>
      <c r="E17" s="110"/>
      <c r="F17" s="110"/>
      <c r="G17" s="112"/>
      <c r="H17" s="107"/>
      <c r="I17" s="62" t="s">
        <v>0</v>
      </c>
      <c r="J17" s="62"/>
      <c r="K17" s="62"/>
      <c r="L17" s="62"/>
      <c r="M17" s="117"/>
      <c r="N17" s="64"/>
      <c r="O17" s="36"/>
    </row>
    <row r="18" spans="2:15" ht="18.75">
      <c r="B18" s="26"/>
      <c r="C18" s="220"/>
      <c r="D18" s="114"/>
      <c r="E18" s="110"/>
      <c r="F18" s="110"/>
      <c r="G18" s="112"/>
      <c r="H18" s="106"/>
      <c r="I18" s="103"/>
      <c r="J18" s="62"/>
      <c r="K18" s="286" t="s">
        <v>139</v>
      </c>
      <c r="L18" s="286"/>
      <c r="M18" s="287"/>
      <c r="N18" s="64"/>
      <c r="O18" s="36"/>
    </row>
    <row r="19" spans="2:20" ht="24.75" customHeight="1">
      <c r="B19" s="26"/>
      <c r="C19" s="219">
        <f>(E19-F19)/F19</f>
        <v>0.05964285714285714</v>
      </c>
      <c r="D19" s="221">
        <f>(E19-G19)/G19</f>
        <v>0.04693013408609739</v>
      </c>
      <c r="E19" s="110">
        <f>'P2'!I44</f>
        <v>2967</v>
      </c>
      <c r="F19" s="110">
        <f>'P2'!J44</f>
        <v>2800</v>
      </c>
      <c r="G19" s="112">
        <v>2834</v>
      </c>
      <c r="H19" s="107"/>
      <c r="I19" s="62"/>
      <c r="J19" s="62"/>
      <c r="K19" s="62"/>
      <c r="L19" s="62" t="s">
        <v>41</v>
      </c>
      <c r="M19" s="117"/>
      <c r="N19" s="64"/>
      <c r="O19" s="36"/>
      <c r="T19"/>
    </row>
    <row r="20" spans="2:15" ht="24.75" customHeight="1">
      <c r="B20" s="26"/>
      <c r="C20" s="219">
        <f>(E20-F20)/F20</f>
        <v>0.31041349498306253</v>
      </c>
      <c r="D20" s="221">
        <f>(E20-G20)/G20</f>
        <v>0.29955462259126836</v>
      </c>
      <c r="E20" s="110">
        <f>'P2'!F44</f>
        <v>544171.6039999999</v>
      </c>
      <c r="F20" s="110">
        <f>'P2'!G44</f>
        <v>415267.094</v>
      </c>
      <c r="G20" s="112">
        <v>418737</v>
      </c>
      <c r="H20" s="107"/>
      <c r="I20" s="62"/>
      <c r="J20" s="62"/>
      <c r="K20" s="62"/>
      <c r="L20" s="62" t="s">
        <v>40</v>
      </c>
      <c r="M20" s="117"/>
      <c r="N20" s="64"/>
      <c r="O20" s="36"/>
    </row>
    <row r="21" spans="2:15" ht="24.75" customHeight="1">
      <c r="B21" s="26"/>
      <c r="C21" s="219">
        <f>(E21-F21)/F21</f>
        <v>0.16335687102917137</v>
      </c>
      <c r="D21" s="221">
        <f>(E21-G21)/G21</f>
        <v>0.2016252167196653</v>
      </c>
      <c r="E21" s="110">
        <f>'P5'!E43</f>
        <v>146238.99049999999</v>
      </c>
      <c r="F21" s="110">
        <f>'P5'!H43</f>
        <v>125704.32525200001</v>
      </c>
      <c r="G21" s="257">
        <v>121701</v>
      </c>
      <c r="H21" s="107"/>
      <c r="I21" s="62"/>
      <c r="J21" s="62"/>
      <c r="K21" s="62"/>
      <c r="L21" s="62" t="s">
        <v>140</v>
      </c>
      <c r="M21" s="117"/>
      <c r="N21" s="64"/>
      <c r="O21" s="36"/>
    </row>
    <row r="22" spans="2:15" ht="24.75" customHeight="1">
      <c r="B22" s="26"/>
      <c r="C22" s="219">
        <f>(E22-F22)/F22</f>
        <v>-0.018368617683686177</v>
      </c>
      <c r="D22" s="221">
        <f>(E22-G22)/G22</f>
        <v>-0.03548485775466503</v>
      </c>
      <c r="E22" s="110">
        <f>'P2'!C44</f>
        <v>3153</v>
      </c>
      <c r="F22" s="110">
        <f>'P2'!D44</f>
        <v>3212</v>
      </c>
      <c r="G22" s="112">
        <v>3269</v>
      </c>
      <c r="H22" s="107"/>
      <c r="I22" s="62"/>
      <c r="J22" s="62"/>
      <c r="K22" s="62"/>
      <c r="L22" s="62" t="s">
        <v>42</v>
      </c>
      <c r="M22" s="117"/>
      <c r="N22" s="64"/>
      <c r="O22" s="36"/>
    </row>
    <row r="23" spans="2:15" ht="18.75">
      <c r="B23" s="26"/>
      <c r="C23" s="220"/>
      <c r="D23" s="221"/>
      <c r="E23" s="110"/>
      <c r="F23" s="110"/>
      <c r="G23" s="113"/>
      <c r="H23" s="107"/>
      <c r="I23" s="62"/>
      <c r="J23" s="62"/>
      <c r="K23" s="62"/>
      <c r="L23" s="62"/>
      <c r="M23" s="117"/>
      <c r="N23" s="64"/>
      <c r="O23" s="36"/>
    </row>
    <row r="24" spans="2:15" ht="18.75">
      <c r="B24" s="26"/>
      <c r="C24" s="220"/>
      <c r="D24" s="221"/>
      <c r="E24" s="110"/>
      <c r="F24" s="110"/>
      <c r="G24" s="113"/>
      <c r="H24" s="106"/>
      <c r="I24" s="103"/>
      <c r="J24" s="62"/>
      <c r="K24" s="286" t="s">
        <v>59</v>
      </c>
      <c r="L24" s="286"/>
      <c r="M24" s="287"/>
      <c r="N24" s="64"/>
      <c r="O24" s="36"/>
    </row>
    <row r="25" spans="2:15" ht="24.75" customHeight="1">
      <c r="B25" s="26"/>
      <c r="C25" s="219">
        <f>(E25-F25)/F25</f>
        <v>-0.19607843137254902</v>
      </c>
      <c r="D25" s="221">
        <f>(E25-G25)/G25</f>
        <v>-0.023809523809523808</v>
      </c>
      <c r="E25" s="110">
        <f>'P8'!I22</f>
        <v>41</v>
      </c>
      <c r="F25" s="110">
        <f>'P8'!I17</f>
        <v>51</v>
      </c>
      <c r="G25" s="257">
        <v>42</v>
      </c>
      <c r="H25" s="107"/>
      <c r="I25" s="62"/>
      <c r="J25" s="62"/>
      <c r="K25" s="62"/>
      <c r="L25" s="62" t="s">
        <v>43</v>
      </c>
      <c r="M25" s="117"/>
      <c r="N25" s="64"/>
      <c r="O25" s="36"/>
    </row>
    <row r="26" spans="2:15" ht="24.75" customHeight="1">
      <c r="B26" s="26"/>
      <c r="C26" s="219">
        <f>(E26-F26)/F26</f>
        <v>-0.1919571732982833</v>
      </c>
      <c r="D26" s="221">
        <f>(E26-G26)/G26</f>
        <v>0.023088803088803123</v>
      </c>
      <c r="E26" s="110">
        <f>'P8'!E22</f>
        <v>6492.01</v>
      </c>
      <c r="F26" s="110">
        <f>'P8'!E17</f>
        <v>8034.24</v>
      </c>
      <c r="G26" s="110">
        <v>6345.5</v>
      </c>
      <c r="H26" s="107"/>
      <c r="I26" s="62"/>
      <c r="J26" s="62"/>
      <c r="K26" s="62"/>
      <c r="L26" s="62" t="s">
        <v>44</v>
      </c>
      <c r="M26" s="117"/>
      <c r="N26" s="64"/>
      <c r="O26" s="36"/>
    </row>
    <row r="27" spans="2:15" ht="24.75" customHeight="1">
      <c r="B27" s="26"/>
      <c r="C27" s="219">
        <f>(E27-F27)/F27</f>
        <v>-0.2773752937352385</v>
      </c>
      <c r="D27" s="221">
        <f>(E27-G27)/G27</f>
        <v>-0.09322600963741788</v>
      </c>
      <c r="E27" s="110">
        <f>'P8'!C22</f>
        <v>374.15389999999996</v>
      </c>
      <c r="F27" s="110">
        <f>'P8'!C17</f>
        <v>517.7707</v>
      </c>
      <c r="G27" s="258">
        <v>412.6209</v>
      </c>
      <c r="H27" s="107"/>
      <c r="I27" s="62"/>
      <c r="J27" s="62"/>
      <c r="K27" s="62"/>
      <c r="L27" s="62" t="s">
        <v>60</v>
      </c>
      <c r="M27" s="117"/>
      <c r="N27" s="64"/>
      <c r="O27" s="61"/>
    </row>
    <row r="28" spans="2:23" ht="19.5" thickBot="1">
      <c r="B28" s="26"/>
      <c r="C28" s="118"/>
      <c r="D28" s="119"/>
      <c r="E28" s="120"/>
      <c r="F28" s="121"/>
      <c r="G28" s="122"/>
      <c r="H28" s="123"/>
      <c r="I28" s="124"/>
      <c r="J28" s="124"/>
      <c r="K28" s="124"/>
      <c r="L28" s="124"/>
      <c r="M28" s="125"/>
      <c r="N28" s="64"/>
      <c r="O28" s="61"/>
      <c r="W28" s="255"/>
    </row>
    <row r="29" spans="2:16" ht="12.75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2:16" ht="12.75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2:22" ht="12.75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V31" s="273"/>
    </row>
    <row r="32" spans="2:16" ht="12.75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2:24" ht="22.5">
      <c r="B33" s="26"/>
      <c r="C33" s="279" t="s">
        <v>106</v>
      </c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6"/>
      <c r="P33" s="26"/>
      <c r="X33" s="263"/>
    </row>
    <row r="34" spans="2:16" ht="22.5">
      <c r="B34" s="26"/>
      <c r="C34" s="279" t="s">
        <v>135</v>
      </c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6"/>
    </row>
    <row r="35" spans="2:16" ht="18.75">
      <c r="B35" s="26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26"/>
    </row>
    <row r="36" spans="2:16" ht="13.5" thickBot="1">
      <c r="B36" s="282"/>
      <c r="C36" s="282"/>
      <c r="D36" s="27"/>
      <c r="E36" s="27"/>
      <c r="F36" s="26"/>
      <c r="G36" s="26"/>
      <c r="H36" s="26"/>
      <c r="I36" s="26"/>
      <c r="J36" s="26"/>
      <c r="K36" s="26"/>
      <c r="M36" s="282" t="s">
        <v>99</v>
      </c>
      <c r="N36" s="282"/>
      <c r="P36" s="26"/>
    </row>
    <row r="37" spans="2:19" ht="16.5" thickBot="1">
      <c r="B37" s="130" t="s">
        <v>15</v>
      </c>
      <c r="C37" s="131" t="s">
        <v>13</v>
      </c>
      <c r="D37" s="131" t="s">
        <v>12</v>
      </c>
      <c r="E37" s="131" t="s">
        <v>11</v>
      </c>
      <c r="F37" s="131" t="s">
        <v>10</v>
      </c>
      <c r="G37" s="131" t="s">
        <v>9</v>
      </c>
      <c r="H37" s="131" t="s">
        <v>8</v>
      </c>
      <c r="I37" s="131" t="s">
        <v>7</v>
      </c>
      <c r="J37" s="131" t="s">
        <v>6</v>
      </c>
      <c r="K37" s="131" t="s">
        <v>5</v>
      </c>
      <c r="L37" s="131" t="s">
        <v>4</v>
      </c>
      <c r="M37" s="131" t="s">
        <v>3</v>
      </c>
      <c r="N37" s="132" t="s">
        <v>14</v>
      </c>
      <c r="O37" s="97" t="s">
        <v>2</v>
      </c>
      <c r="P37" s="26"/>
      <c r="S37" s="255"/>
    </row>
    <row r="38" spans="2:16" ht="24.75" customHeight="1" thickBot="1">
      <c r="B38" s="252"/>
      <c r="C38" s="247">
        <f>418.737-D38-E38-F38-G38-H38-I38-J38-K38-L38-M38</f>
        <v>87.83699999999996</v>
      </c>
      <c r="D38" s="247">
        <v>81.4</v>
      </c>
      <c r="E38" s="247">
        <v>42.1</v>
      </c>
      <c r="F38" s="247">
        <v>0</v>
      </c>
      <c r="G38" s="247">
        <v>57.7</v>
      </c>
      <c r="H38" s="247">
        <f>149.7-(I38+J38+K38+L38+M38)</f>
        <v>56.69999999999999</v>
      </c>
      <c r="I38" s="247">
        <v>0</v>
      </c>
      <c r="J38" s="247">
        <v>21.8</v>
      </c>
      <c r="K38" s="247">
        <v>14.9</v>
      </c>
      <c r="L38" s="253">
        <v>49.4</v>
      </c>
      <c r="M38" s="253">
        <v>6.9</v>
      </c>
      <c r="N38" s="201">
        <v>2020</v>
      </c>
      <c r="O38" s="97"/>
      <c r="P38" s="26"/>
    </row>
    <row r="39" spans="1:20" s="70" customFormat="1" ht="24.75" customHeight="1" thickBot="1">
      <c r="A39" s="46"/>
      <c r="B39" s="251"/>
      <c r="C39" s="250">
        <f>415.267-D39-E39-F39-G39-H39-I39-J39-K39-L39-M39</f>
        <v>34.36699999999995</v>
      </c>
      <c r="D39" s="133">
        <v>54.3</v>
      </c>
      <c r="E39" s="250">
        <v>54.1</v>
      </c>
      <c r="F39" s="247">
        <v>20</v>
      </c>
      <c r="G39" s="133">
        <v>42.3</v>
      </c>
      <c r="H39" s="133">
        <f>210.2-I39-J39-K39-L39-M39</f>
        <v>44.001999999999995</v>
      </c>
      <c r="I39" s="133">
        <v>51.1</v>
      </c>
      <c r="J39" s="133">
        <f>115.098-K39-L39-M39</f>
        <v>27.798000000000002</v>
      </c>
      <c r="K39" s="133">
        <v>54.8</v>
      </c>
      <c r="L39" s="238">
        <v>24.6</v>
      </c>
      <c r="M39" s="238">
        <v>7.9</v>
      </c>
      <c r="N39" s="201">
        <v>2021</v>
      </c>
      <c r="O39" s="129">
        <f>(M39+21153.994)/1000</f>
        <v>21.161894</v>
      </c>
      <c r="P39" s="46"/>
      <c r="Q39" s="46"/>
      <c r="S39" s="254"/>
      <c r="T39" s="265"/>
    </row>
    <row r="40" spans="2:20" ht="30" customHeight="1" thickBot="1">
      <c r="B40" s="251"/>
      <c r="C40" s="250">
        <f>544.172-D40-E40-F40-G40-H40-I40-J40-K40-L40-M40</f>
        <v>62.772000000000034</v>
      </c>
      <c r="D40" s="133">
        <v>69.5</v>
      </c>
      <c r="E40" s="250">
        <v>28.7</v>
      </c>
      <c r="F40" s="247">
        <v>17.7</v>
      </c>
      <c r="G40" s="247">
        <v>72.7</v>
      </c>
      <c r="H40" s="133">
        <f>292.8-I40-J40-K40-L40-M40</f>
        <v>59.60400000000003</v>
      </c>
      <c r="I40" s="133">
        <v>95.3</v>
      </c>
      <c r="J40" s="133">
        <f>137.896-M40-L40-K40</f>
        <v>7.195999999999984</v>
      </c>
      <c r="K40" s="247">
        <v>75.9</v>
      </c>
      <c r="L40" s="238">
        <v>46.8</v>
      </c>
      <c r="M40" s="238">
        <v>8</v>
      </c>
      <c r="N40" s="202">
        <v>2022</v>
      </c>
      <c r="O40" s="129">
        <f>(M40+9832.914)/1000</f>
        <v>9.840914000000001</v>
      </c>
      <c r="P40" s="26"/>
      <c r="T40" s="244"/>
    </row>
    <row r="41" spans="2:16" ht="30" customHeight="1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</row>
    <row r="42" spans="2:16" ht="12.7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2:16" ht="12.7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4" spans="2:16" ht="12.75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2:16" ht="12.7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2:16" ht="12.75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7" spans="2:16" ht="12.7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  <row r="48" spans="2:16" ht="12.75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</row>
    <row r="49" spans="2:16" ht="12.7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</row>
    <row r="50" spans="2:16" ht="12.7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</row>
    <row r="51" spans="2:16" ht="15.75" customHeight="1" hidden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</row>
    <row r="52" spans="2:16" ht="41.25" customHeight="1" hidden="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</row>
    <row r="53" spans="2:16" ht="39" customHeight="1" hidden="1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</row>
    <row r="54" spans="2:16" ht="13.5" hidden="1" thickBot="1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26"/>
    </row>
    <row r="55" spans="1:16" ht="1.5" customHeight="1" hidden="1" thickBot="1">
      <c r="A55" s="37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37"/>
    </row>
    <row r="56" spans="2:16" ht="12.7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</row>
    <row r="57" spans="2:16" ht="25.5" customHeight="1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</row>
    <row r="58" spans="2:16" ht="15.75"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5"/>
      <c r="O58" s="26"/>
      <c r="P58" s="26"/>
    </row>
    <row r="59" spans="1:16" ht="15.75">
      <c r="A59" s="94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35"/>
      <c r="O59" s="26"/>
      <c r="P59" s="26"/>
    </row>
    <row r="60" spans="1:16" ht="15.75">
      <c r="A60" s="93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</row>
    <row r="61" spans="2:16" ht="12.7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</row>
    <row r="62" spans="2:16" ht="12.7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</row>
    <row r="63" spans="2:16" ht="12.7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2:16" ht="12.7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</row>
    <row r="65" spans="2:16" ht="12.7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</row>
    <row r="66" spans="2:16" ht="12.7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</row>
    <row r="67" spans="2:16" ht="12.7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</row>
    <row r="68" ht="12.75">
      <c r="P68" s="26"/>
    </row>
  </sheetData>
  <sheetProtection/>
  <mergeCells count="20">
    <mergeCell ref="J4:O4"/>
    <mergeCell ref="C33:N33"/>
    <mergeCell ref="C34:O34"/>
    <mergeCell ref="B36:C36"/>
    <mergeCell ref="H13:M13"/>
    <mergeCell ref="M36:N36"/>
    <mergeCell ref="K24:M24"/>
    <mergeCell ref="K14:M14"/>
    <mergeCell ref="K18:M18"/>
    <mergeCell ref="C11:D11"/>
    <mergeCell ref="A3:F3"/>
    <mergeCell ref="A4:F4"/>
    <mergeCell ref="K3:O3"/>
    <mergeCell ref="H12:M12"/>
    <mergeCell ref="C7:M7"/>
    <mergeCell ref="C8:M8"/>
    <mergeCell ref="C9:M9"/>
    <mergeCell ref="E12:E13"/>
    <mergeCell ref="F12:F13"/>
    <mergeCell ref="G12:G13"/>
  </mergeCells>
  <printOptions horizontalCentered="1" verticalCentered="1"/>
  <pageMargins left="0.2755905511811024" right="0.2755905511811024" top="0.2362204724409449" bottom="0.25" header="0.31496062992125984" footer="0.56"/>
  <pageSetup fitToHeight="1" fitToWidth="1" horizontalDpi="600" verticalDpi="600" orientation="portrait" paperSize="9" scale="78" r:id="rId2"/>
  <headerFooter alignWithMargins="0">
    <oddFooter>&amp;C- 1 -</oddFooter>
  </headerFooter>
  <rowBreaks count="1" manualBreakCount="1">
    <brk id="2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tabSelected="1" view="pageBreakPreview" zoomScaleSheetLayoutView="100" zoomScalePageLayoutView="0" workbookViewId="0" topLeftCell="A25">
      <selection activeCell="B11" sqref="B11:C11"/>
    </sheetView>
  </sheetViews>
  <sheetFormatPr defaultColWidth="9.140625" defaultRowHeight="12.75"/>
  <cols>
    <col min="1" max="1" width="5.421875" style="39" customWidth="1"/>
    <col min="2" max="2" width="10.00390625" style="39" bestFit="1" customWidth="1"/>
    <col min="3" max="4" width="8.7109375" style="39" customWidth="1"/>
    <col min="5" max="5" width="11.421875" style="39" bestFit="1" customWidth="1"/>
    <col min="6" max="6" width="9.00390625" style="39" bestFit="1" customWidth="1"/>
    <col min="7" max="7" width="11.421875" style="39" customWidth="1"/>
    <col min="8" max="8" width="10.7109375" style="39" bestFit="1" customWidth="1"/>
    <col min="9" max="9" width="8.7109375" style="39" customWidth="1"/>
    <col min="10" max="10" width="7.7109375" style="39" customWidth="1"/>
    <col min="11" max="11" width="15.140625" style="39" customWidth="1"/>
    <col min="12" max="12" width="7.57421875" style="39" customWidth="1"/>
    <col min="13" max="16384" width="9.140625" style="39" customWidth="1"/>
  </cols>
  <sheetData>
    <row r="1" spans="1:13" ht="12.75">
      <c r="A1" s="38"/>
      <c r="B1" s="38"/>
      <c r="C1" s="38"/>
      <c r="D1" s="71"/>
      <c r="E1" s="38"/>
      <c r="F1" s="38"/>
      <c r="G1" s="71"/>
      <c r="H1" s="71"/>
      <c r="I1" s="71"/>
      <c r="J1" s="71"/>
      <c r="K1" s="38"/>
      <c r="L1" s="38"/>
      <c r="M1" s="38"/>
    </row>
    <row r="2" spans="1:13" ht="12.75">
      <c r="A2" s="299" t="s">
        <v>17</v>
      </c>
      <c r="B2" s="299"/>
      <c r="C2" s="299"/>
      <c r="D2" s="71"/>
      <c r="E2" s="38"/>
      <c r="F2" s="38"/>
      <c r="G2" s="71"/>
      <c r="H2" s="71"/>
      <c r="I2" s="71"/>
      <c r="J2" s="71"/>
      <c r="K2" s="240" t="s">
        <v>16</v>
      </c>
      <c r="L2" s="71"/>
      <c r="M2" s="38"/>
    </row>
    <row r="3" spans="1:13" ht="12.75">
      <c r="A3" s="299" t="s">
        <v>18</v>
      </c>
      <c r="B3" s="299"/>
      <c r="C3" s="299"/>
      <c r="D3" s="71"/>
      <c r="E3" s="38"/>
      <c r="F3" s="38"/>
      <c r="G3" s="71"/>
      <c r="H3" s="71"/>
      <c r="I3" s="300" t="s">
        <v>130</v>
      </c>
      <c r="J3" s="300"/>
      <c r="K3" s="300"/>
      <c r="L3" s="71"/>
      <c r="M3" s="38"/>
    </row>
    <row r="4" spans="2:13" ht="15.75">
      <c r="B4" s="88"/>
      <c r="C4" s="88"/>
      <c r="D4" s="88"/>
      <c r="E4" s="38"/>
      <c r="F4" s="38"/>
      <c r="G4" s="71"/>
      <c r="H4" s="71"/>
      <c r="I4" s="71"/>
      <c r="J4" s="71"/>
      <c r="K4" s="88"/>
      <c r="L4" s="88"/>
      <c r="M4" s="38"/>
    </row>
    <row r="5" spans="2:13" ht="15.75">
      <c r="B5" s="88"/>
      <c r="C5" s="88"/>
      <c r="D5" s="88"/>
      <c r="E5" s="38"/>
      <c r="F5" s="38"/>
      <c r="G5" s="71"/>
      <c r="H5" s="71"/>
      <c r="I5" s="71"/>
      <c r="J5" s="71"/>
      <c r="K5" s="88"/>
      <c r="L5" s="88"/>
      <c r="M5" s="38"/>
    </row>
    <row r="6" spans="1:13" ht="12.75">
      <c r="A6" s="40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2:19" ht="22.5">
      <c r="B7" s="298" t="s">
        <v>107</v>
      </c>
      <c r="C7" s="298"/>
      <c r="D7" s="298"/>
      <c r="E7" s="298"/>
      <c r="F7" s="298"/>
      <c r="G7" s="298"/>
      <c r="H7" s="298"/>
      <c r="I7" s="298"/>
      <c r="J7" s="298"/>
      <c r="K7" s="298"/>
      <c r="L7" s="41"/>
      <c r="M7" s="41"/>
      <c r="N7" s="41"/>
      <c r="O7" s="41"/>
      <c r="P7" s="41"/>
      <c r="Q7" s="41"/>
      <c r="R7" s="41"/>
      <c r="S7" s="41"/>
    </row>
    <row r="8" spans="2:19" ht="19.5" customHeight="1">
      <c r="B8" s="298" t="s">
        <v>46</v>
      </c>
      <c r="C8" s="298"/>
      <c r="D8" s="298"/>
      <c r="E8" s="298"/>
      <c r="F8" s="298"/>
      <c r="G8" s="298"/>
      <c r="H8" s="298"/>
      <c r="I8" s="298"/>
      <c r="J8" s="298"/>
      <c r="K8" s="298"/>
      <c r="L8" s="41"/>
      <c r="M8" s="41"/>
      <c r="N8" s="41"/>
      <c r="O8" s="41"/>
      <c r="P8" s="41"/>
      <c r="Q8" s="41"/>
      <c r="R8" s="41"/>
      <c r="S8" s="41"/>
    </row>
    <row r="9" spans="2:19" ht="23.25" customHeight="1">
      <c r="B9" s="298" t="s">
        <v>142</v>
      </c>
      <c r="C9" s="298"/>
      <c r="D9" s="298"/>
      <c r="E9" s="298"/>
      <c r="F9" s="298"/>
      <c r="G9" s="298"/>
      <c r="H9" s="298"/>
      <c r="I9" s="298"/>
      <c r="J9" s="298"/>
      <c r="K9" s="298"/>
      <c r="L9" s="41"/>
      <c r="M9" s="41"/>
      <c r="N9" s="41"/>
      <c r="O9" s="41"/>
      <c r="P9" s="41"/>
      <c r="Q9" s="41"/>
      <c r="R9" s="41"/>
      <c r="S9" s="41"/>
    </row>
    <row r="10" spans="2:13" ht="18.75">
      <c r="B10" s="289"/>
      <c r="C10" s="289"/>
      <c r="D10" s="289"/>
      <c r="E10" s="289"/>
      <c r="F10" s="289"/>
      <c r="G10" s="289"/>
      <c r="H10" s="289"/>
      <c r="I10" s="289"/>
      <c r="J10" s="289"/>
      <c r="K10" s="69"/>
      <c r="L10" s="38"/>
      <c r="M10" s="38"/>
    </row>
    <row r="11" spans="1:13" ht="12.75">
      <c r="A11" s="38"/>
      <c r="B11" s="288" t="s">
        <v>145</v>
      </c>
      <c r="C11" s="288"/>
      <c r="E11" s="38"/>
      <c r="F11" s="38"/>
      <c r="G11" s="38"/>
      <c r="H11" s="293"/>
      <c r="I11" s="293"/>
      <c r="J11" s="293" t="s">
        <v>68</v>
      </c>
      <c r="K11" s="293"/>
      <c r="L11" s="38"/>
      <c r="M11" s="38"/>
    </row>
    <row r="12" spans="2:13" ht="18.75">
      <c r="B12" s="290" t="s">
        <v>42</v>
      </c>
      <c r="C12" s="291"/>
      <c r="D12" s="292"/>
      <c r="E12" s="296" t="s">
        <v>37</v>
      </c>
      <c r="F12" s="297"/>
      <c r="G12" s="292"/>
      <c r="H12" s="296" t="s">
        <v>35</v>
      </c>
      <c r="I12" s="297"/>
      <c r="J12" s="292"/>
      <c r="K12" s="294" t="s">
        <v>19</v>
      </c>
      <c r="M12" s="38"/>
    </row>
    <row r="13" spans="2:13" ht="15.75">
      <c r="B13" s="42" t="s">
        <v>39</v>
      </c>
      <c r="C13" s="140">
        <v>2022</v>
      </c>
      <c r="D13" s="140">
        <v>2021</v>
      </c>
      <c r="E13" s="42" t="s">
        <v>39</v>
      </c>
      <c r="F13" s="140">
        <v>2022</v>
      </c>
      <c r="G13" s="140">
        <v>2021</v>
      </c>
      <c r="H13" s="42" t="s">
        <v>39</v>
      </c>
      <c r="I13" s="140">
        <v>2022</v>
      </c>
      <c r="J13" s="140">
        <v>2021</v>
      </c>
      <c r="K13" s="295"/>
      <c r="M13" s="38"/>
    </row>
    <row r="14" spans="2:13" ht="15.75">
      <c r="B14" s="222">
        <f>(C14-D14)/D14</f>
        <v>-0.14285714285714285</v>
      </c>
      <c r="C14" s="135">
        <v>18</v>
      </c>
      <c r="D14" s="135">
        <v>21</v>
      </c>
      <c r="E14" s="222">
        <f>(F14-G14)/G14</f>
        <v>0.9918750932557445</v>
      </c>
      <c r="F14" s="135">
        <v>1708.742</v>
      </c>
      <c r="G14" s="135">
        <v>857.856</v>
      </c>
      <c r="H14" s="222">
        <f>(I14-J14)/J14</f>
        <v>-0.1</v>
      </c>
      <c r="I14" s="135">
        <v>9</v>
      </c>
      <c r="J14" s="135">
        <v>10</v>
      </c>
      <c r="K14" s="90" t="s">
        <v>69</v>
      </c>
      <c r="M14" s="38"/>
    </row>
    <row r="15" spans="2:13" ht="15.75">
      <c r="B15" s="222">
        <f>(C15-D15)/D15</f>
        <v>0.5</v>
      </c>
      <c r="C15" s="135">
        <v>12</v>
      </c>
      <c r="D15" s="135">
        <v>8</v>
      </c>
      <c r="E15" s="222">
        <f>(F15-G15)/G15</f>
        <v>2.271804527380275</v>
      </c>
      <c r="F15" s="135">
        <v>3743</v>
      </c>
      <c r="G15" s="135">
        <v>1144.017</v>
      </c>
      <c r="H15" s="222">
        <f>(I15-J15)/J15</f>
        <v>0.8888888888888888</v>
      </c>
      <c r="I15" s="135">
        <v>17</v>
      </c>
      <c r="J15" s="135">
        <v>9</v>
      </c>
      <c r="K15" s="90" t="s">
        <v>70</v>
      </c>
      <c r="M15" s="38"/>
    </row>
    <row r="16" spans="2:13" ht="15.75">
      <c r="B16" s="222">
        <f aca="true" t="shared" si="0" ref="B16:B24">(C16-D16)/D16</f>
        <v>-0.24390243902439024</v>
      </c>
      <c r="C16" s="135">
        <v>31</v>
      </c>
      <c r="D16" s="135">
        <v>41</v>
      </c>
      <c r="E16" s="222">
        <f>(F16-G16)/G16</f>
        <v>2.3680965850255227</v>
      </c>
      <c r="F16" s="135">
        <v>9790.336</v>
      </c>
      <c r="G16" s="135">
        <v>2906.786</v>
      </c>
      <c r="H16" s="222">
        <f>(I16-J16)/J16</f>
        <v>0.3333333333333333</v>
      </c>
      <c r="I16" s="135">
        <v>20</v>
      </c>
      <c r="J16" s="135">
        <v>15</v>
      </c>
      <c r="K16" s="90" t="s">
        <v>71</v>
      </c>
      <c r="M16" s="38"/>
    </row>
    <row r="17" spans="2:13" ht="15.75">
      <c r="B17" s="222">
        <f t="shared" si="0"/>
        <v>0.04411764705882353</v>
      </c>
      <c r="C17" s="135">
        <v>213</v>
      </c>
      <c r="D17" s="135">
        <v>204</v>
      </c>
      <c r="E17" s="222">
        <f aca="true" t="shared" si="1" ref="E17:E24">(F17-G17)/G17</f>
        <v>-0.07939160055772289</v>
      </c>
      <c r="F17" s="135">
        <v>44421.121</v>
      </c>
      <c r="G17" s="135">
        <v>48251.918</v>
      </c>
      <c r="H17" s="222">
        <f aca="true" t="shared" si="2" ref="H17:H29">(I17-J17)/J17</f>
        <v>0.061946902654867256</v>
      </c>
      <c r="I17" s="135">
        <v>120</v>
      </c>
      <c r="J17" s="135">
        <v>113</v>
      </c>
      <c r="K17" s="90" t="s">
        <v>72</v>
      </c>
      <c r="M17" s="38"/>
    </row>
    <row r="18" spans="2:13" ht="15.75">
      <c r="B18" s="222">
        <f t="shared" si="0"/>
        <v>-0.5631067961165048</v>
      </c>
      <c r="C18" s="135">
        <v>45</v>
      </c>
      <c r="D18" s="135">
        <v>103</v>
      </c>
      <c r="E18" s="222">
        <f>(F18-G18)/G18</f>
        <v>-0.4168832076186586</v>
      </c>
      <c r="F18" s="135">
        <v>15190.035</v>
      </c>
      <c r="G18" s="135">
        <v>26049.73</v>
      </c>
      <c r="H18" s="222">
        <f t="shared" si="2"/>
        <v>-0.14473684210526316</v>
      </c>
      <c r="I18" s="135">
        <v>65</v>
      </c>
      <c r="J18" s="135">
        <v>76</v>
      </c>
      <c r="K18" s="90" t="s">
        <v>73</v>
      </c>
      <c r="M18" s="38"/>
    </row>
    <row r="19" spans="2:13" ht="15.75">
      <c r="B19" s="222">
        <f>(C19-D19)/D19</f>
        <v>1.050561797752809</v>
      </c>
      <c r="C19" s="135">
        <v>365</v>
      </c>
      <c r="D19" s="135">
        <v>178</v>
      </c>
      <c r="E19" s="222">
        <f t="shared" si="1"/>
        <v>0.4958087784808109</v>
      </c>
      <c r="F19" s="135">
        <v>31050.935</v>
      </c>
      <c r="G19" s="135">
        <v>20758.626</v>
      </c>
      <c r="H19" s="222">
        <f t="shared" si="2"/>
        <v>1.2535211267605635</v>
      </c>
      <c r="I19" s="135">
        <v>160</v>
      </c>
      <c r="J19" s="135">
        <v>71</v>
      </c>
      <c r="K19" s="90" t="s">
        <v>74</v>
      </c>
      <c r="M19" s="38"/>
    </row>
    <row r="20" spans="2:13" ht="15.75">
      <c r="B20" s="222">
        <f>(C20-D20)/D20</f>
        <v>1.4230769230769231</v>
      </c>
      <c r="C20" s="135">
        <v>63</v>
      </c>
      <c r="D20" s="135">
        <v>26</v>
      </c>
      <c r="E20" s="222">
        <f t="shared" si="1"/>
        <v>4.466731872878741</v>
      </c>
      <c r="F20" s="135">
        <v>17717.678</v>
      </c>
      <c r="G20" s="135">
        <v>3241</v>
      </c>
      <c r="H20" s="222">
        <f t="shared" si="2"/>
        <v>1.8235294117647058</v>
      </c>
      <c r="I20" s="135">
        <v>48</v>
      </c>
      <c r="J20" s="135">
        <v>17</v>
      </c>
      <c r="K20" s="90" t="s">
        <v>75</v>
      </c>
      <c r="M20" s="38"/>
    </row>
    <row r="21" spans="2:13" s="44" customFormat="1" ht="15.75">
      <c r="B21" s="223">
        <f t="shared" si="0"/>
        <v>0.2857142857142857</v>
      </c>
      <c r="C21" s="136">
        <f aca="true" t="shared" si="3" ref="C21:I21">SUM(C14:C20)</f>
        <v>747</v>
      </c>
      <c r="D21" s="136">
        <f>SUM(D14:D20)</f>
        <v>581</v>
      </c>
      <c r="E21" s="223">
        <f t="shared" si="1"/>
        <v>0.19777082889880365</v>
      </c>
      <c r="F21" s="136">
        <f t="shared" si="3"/>
        <v>123621.847</v>
      </c>
      <c r="G21" s="136">
        <f>SUM(G14:G20)</f>
        <v>103209.933</v>
      </c>
      <c r="H21" s="223">
        <f t="shared" si="2"/>
        <v>0.4115755627009646</v>
      </c>
      <c r="I21" s="136">
        <f t="shared" si="3"/>
        <v>439</v>
      </c>
      <c r="J21" s="136">
        <f>SUM(J14:J20)</f>
        <v>311</v>
      </c>
      <c r="K21" s="43" t="s">
        <v>76</v>
      </c>
      <c r="M21" s="71"/>
    </row>
    <row r="22" spans="2:13" ht="15.75">
      <c r="B22" s="222">
        <f>(C22-D22)/D22</f>
        <v>-0.2631578947368421</v>
      </c>
      <c r="C22" s="135">
        <v>70</v>
      </c>
      <c r="D22" s="135">
        <v>95</v>
      </c>
      <c r="E22" s="222">
        <f>(F22-G22)/G22</f>
        <v>0.13197988114653478</v>
      </c>
      <c r="F22" s="135">
        <v>19461.486</v>
      </c>
      <c r="G22" s="135">
        <v>17192.431</v>
      </c>
      <c r="H22" s="222">
        <f t="shared" si="2"/>
        <v>0</v>
      </c>
      <c r="I22" s="135">
        <v>100</v>
      </c>
      <c r="J22" s="135">
        <v>100</v>
      </c>
      <c r="K22" s="90" t="s">
        <v>77</v>
      </c>
      <c r="M22" s="38"/>
    </row>
    <row r="23" spans="2:13" ht="15.75">
      <c r="B23" s="222">
        <f t="shared" si="0"/>
        <v>0.43103448275862066</v>
      </c>
      <c r="C23" s="135">
        <v>83</v>
      </c>
      <c r="D23" s="135">
        <v>58</v>
      </c>
      <c r="E23" s="222">
        <f t="shared" si="1"/>
        <v>0.007939798083072276</v>
      </c>
      <c r="F23" s="135">
        <v>24007.223</v>
      </c>
      <c r="G23" s="135">
        <v>23818.112</v>
      </c>
      <c r="H23" s="222">
        <f t="shared" si="2"/>
        <v>0.3953488372093023</v>
      </c>
      <c r="I23" s="135">
        <v>180</v>
      </c>
      <c r="J23" s="135">
        <v>129</v>
      </c>
      <c r="K23" s="90" t="s">
        <v>78</v>
      </c>
      <c r="M23" s="38"/>
    </row>
    <row r="24" spans="2:13" ht="15.75">
      <c r="B24" s="222">
        <f t="shared" si="0"/>
        <v>-0.28865979381443296</v>
      </c>
      <c r="C24" s="135">
        <v>69</v>
      </c>
      <c r="D24" s="135">
        <v>97</v>
      </c>
      <c r="E24" s="222">
        <f t="shared" si="1"/>
        <v>0.9213805960852295</v>
      </c>
      <c r="F24" s="135">
        <v>21129.457</v>
      </c>
      <c r="G24" s="135">
        <v>10997.018</v>
      </c>
      <c r="H24" s="222">
        <f t="shared" si="2"/>
        <v>0.9021739130434783</v>
      </c>
      <c r="I24" s="135">
        <v>175</v>
      </c>
      <c r="J24" s="135">
        <v>92</v>
      </c>
      <c r="K24" s="90" t="s">
        <v>79</v>
      </c>
      <c r="M24" s="38"/>
    </row>
    <row r="25" spans="2:13" ht="15.75">
      <c r="B25" s="222">
        <f aca="true" t="shared" si="4" ref="B25:B30">(C25-D25)/D25</f>
        <v>0.21428571428571427</v>
      </c>
      <c r="C25" s="135">
        <v>119</v>
      </c>
      <c r="D25" s="135">
        <v>98</v>
      </c>
      <c r="E25" s="222">
        <f aca="true" t="shared" si="5" ref="E25:E30">(F25-G25)/G25</f>
        <v>0.9028392949148281</v>
      </c>
      <c r="F25" s="135">
        <v>22650.282</v>
      </c>
      <c r="G25" s="135">
        <v>11903.413</v>
      </c>
      <c r="H25" s="222">
        <f t="shared" si="2"/>
        <v>1.320754716981132</v>
      </c>
      <c r="I25" s="135">
        <v>123</v>
      </c>
      <c r="J25" s="135">
        <v>53</v>
      </c>
      <c r="K25" s="90" t="s">
        <v>80</v>
      </c>
      <c r="M25" s="38"/>
    </row>
    <row r="26" spans="2:13" s="44" customFormat="1" ht="15.75">
      <c r="B26" s="223">
        <f t="shared" si="4"/>
        <v>-0.020114942528735632</v>
      </c>
      <c r="C26" s="136">
        <f>SUM(C22:C25)</f>
        <v>341</v>
      </c>
      <c r="D26" s="136">
        <f>SUM(D22:D25)</f>
        <v>348</v>
      </c>
      <c r="E26" s="223">
        <f t="shared" si="5"/>
        <v>0.3651559746218232</v>
      </c>
      <c r="F26" s="136">
        <f>SUM(F22:F25)</f>
        <v>87248.448</v>
      </c>
      <c r="G26" s="136">
        <f>SUM(G22:G25)</f>
        <v>63910.974</v>
      </c>
      <c r="H26" s="223">
        <f t="shared" si="2"/>
        <v>0.5454545454545454</v>
      </c>
      <c r="I26" s="136">
        <f>SUM(I22:I25)</f>
        <v>578</v>
      </c>
      <c r="J26" s="136">
        <f>SUM(J22:J25)</f>
        <v>374</v>
      </c>
      <c r="K26" s="43" t="s">
        <v>81</v>
      </c>
      <c r="M26" s="71"/>
    </row>
    <row r="27" spans="2:13" ht="15.75">
      <c r="B27" s="222">
        <f t="shared" si="4"/>
        <v>-0.16447368421052633</v>
      </c>
      <c r="C27" s="135">
        <v>254</v>
      </c>
      <c r="D27" s="135">
        <v>304</v>
      </c>
      <c r="E27" s="222">
        <f t="shared" si="5"/>
        <v>-0.03142283666259076</v>
      </c>
      <c r="F27" s="135">
        <v>32290.44</v>
      </c>
      <c r="G27" s="135">
        <v>33338.015</v>
      </c>
      <c r="H27" s="222">
        <f t="shared" si="2"/>
        <v>-0.23595505617977527</v>
      </c>
      <c r="I27" s="135">
        <v>204</v>
      </c>
      <c r="J27" s="135">
        <v>267</v>
      </c>
      <c r="K27" s="90" t="s">
        <v>82</v>
      </c>
      <c r="M27" s="38"/>
    </row>
    <row r="28" spans="2:13" ht="15.75">
      <c r="B28" s="222">
        <f t="shared" si="4"/>
        <v>-0.024024024024024024</v>
      </c>
      <c r="C28" s="135">
        <v>325</v>
      </c>
      <c r="D28" s="135">
        <v>333</v>
      </c>
      <c r="E28" s="222">
        <f t="shared" si="5"/>
        <v>0.13022733122029503</v>
      </c>
      <c r="F28" s="135">
        <v>42004.328</v>
      </c>
      <c r="G28" s="135">
        <v>37164.495</v>
      </c>
      <c r="H28" s="222">
        <f t="shared" si="2"/>
        <v>0.3142857142857143</v>
      </c>
      <c r="I28" s="135">
        <v>414</v>
      </c>
      <c r="J28" s="135">
        <v>315</v>
      </c>
      <c r="K28" s="90" t="s">
        <v>83</v>
      </c>
      <c r="M28" s="38"/>
    </row>
    <row r="29" spans="2:13" ht="15.75">
      <c r="B29" s="222">
        <f t="shared" si="4"/>
        <v>-0.22137404580152673</v>
      </c>
      <c r="C29" s="135">
        <v>306</v>
      </c>
      <c r="D29" s="135">
        <v>393</v>
      </c>
      <c r="E29" s="222">
        <f t="shared" si="5"/>
        <v>-0.3588923549428951</v>
      </c>
      <c r="F29" s="135">
        <v>25226.085</v>
      </c>
      <c r="G29" s="135">
        <v>39347.659</v>
      </c>
      <c r="H29" s="222">
        <f t="shared" si="2"/>
        <v>-0.4357142857142857</v>
      </c>
      <c r="I29" s="135">
        <v>237</v>
      </c>
      <c r="J29" s="135">
        <v>420</v>
      </c>
      <c r="K29" s="90" t="s">
        <v>84</v>
      </c>
      <c r="M29" s="38"/>
    </row>
    <row r="30" spans="2:13" s="44" customFormat="1" ht="15.75">
      <c r="B30" s="223">
        <f t="shared" si="4"/>
        <v>-0.1407766990291262</v>
      </c>
      <c r="C30" s="136">
        <f>SUM(C27:C29)</f>
        <v>885</v>
      </c>
      <c r="D30" s="136">
        <f>SUM(D27:D29)</f>
        <v>1030</v>
      </c>
      <c r="E30" s="223">
        <f t="shared" si="5"/>
        <v>-0.09403095228738342</v>
      </c>
      <c r="F30" s="136">
        <f>SUM(F27:F29)</f>
        <v>99520.853</v>
      </c>
      <c r="G30" s="136">
        <f>SUM(G27:G29)</f>
        <v>109850.16900000001</v>
      </c>
      <c r="H30" s="223">
        <f aca="true" t="shared" si="6" ref="H30:H43">(I30-J30)/J30</f>
        <v>-0.1467065868263473</v>
      </c>
      <c r="I30" s="136">
        <f>SUM(I27:I29)</f>
        <v>855</v>
      </c>
      <c r="J30" s="136">
        <f>SUM(J27:J29)</f>
        <v>1002</v>
      </c>
      <c r="K30" s="43" t="s">
        <v>85</v>
      </c>
      <c r="M30" s="71"/>
    </row>
    <row r="31" spans="2:13" ht="15.75">
      <c r="B31" s="222">
        <f aca="true" t="shared" si="7" ref="B31:B43">(C31-D31)/D31</f>
        <v>0.03225806451612903</v>
      </c>
      <c r="C31" s="135">
        <v>32</v>
      </c>
      <c r="D31" s="135">
        <v>31</v>
      </c>
      <c r="E31" s="222">
        <f aca="true" t="shared" si="8" ref="E31:E38">(F31-G31)/G31</f>
        <v>1.5098794608865904</v>
      </c>
      <c r="F31" s="135">
        <v>12691.08</v>
      </c>
      <c r="G31" s="135">
        <v>5056.45</v>
      </c>
      <c r="H31" s="222">
        <f t="shared" si="6"/>
        <v>-0.6551724137931034</v>
      </c>
      <c r="I31" s="135">
        <v>10</v>
      </c>
      <c r="J31" s="135">
        <v>29</v>
      </c>
      <c r="K31" s="90" t="s">
        <v>86</v>
      </c>
      <c r="M31" s="38"/>
    </row>
    <row r="32" spans="2:13" ht="15.75">
      <c r="B32" s="222">
        <f t="shared" si="7"/>
        <v>0.12149532710280374</v>
      </c>
      <c r="C32" s="135">
        <v>120</v>
      </c>
      <c r="D32" s="135">
        <v>107</v>
      </c>
      <c r="E32" s="222">
        <f t="shared" si="8"/>
        <v>0.7245303857367326</v>
      </c>
      <c r="F32" s="135">
        <v>18987.252</v>
      </c>
      <c r="G32" s="135">
        <v>11010.1</v>
      </c>
      <c r="H32" s="222">
        <f t="shared" si="6"/>
        <v>0.32558139534883723</v>
      </c>
      <c r="I32" s="135">
        <v>57</v>
      </c>
      <c r="J32" s="135">
        <v>43</v>
      </c>
      <c r="K32" s="90" t="s">
        <v>87</v>
      </c>
      <c r="M32" s="38"/>
    </row>
    <row r="33" spans="2:13" ht="15.75">
      <c r="B33" s="222">
        <f t="shared" si="7"/>
        <v>0.2032520325203252</v>
      </c>
      <c r="C33" s="135">
        <v>148</v>
      </c>
      <c r="D33" s="135">
        <v>123</v>
      </c>
      <c r="E33" s="222">
        <f t="shared" si="8"/>
        <v>1.4943832958333563</v>
      </c>
      <c r="F33" s="135">
        <v>45120.65</v>
      </c>
      <c r="G33" s="135">
        <v>18088.9</v>
      </c>
      <c r="H33" s="222">
        <f t="shared" si="6"/>
        <v>0.3230769230769231</v>
      </c>
      <c r="I33" s="135">
        <v>86</v>
      </c>
      <c r="J33" s="135">
        <v>65</v>
      </c>
      <c r="K33" s="90" t="s">
        <v>88</v>
      </c>
      <c r="M33" s="38"/>
    </row>
    <row r="34" spans="2:13" ht="15.75">
      <c r="B34" s="222">
        <f t="shared" si="7"/>
        <v>0.34285714285714286</v>
      </c>
      <c r="C34" s="135">
        <v>188</v>
      </c>
      <c r="D34" s="135">
        <v>140</v>
      </c>
      <c r="E34" s="222">
        <f t="shared" si="8"/>
        <v>0.9754977907439257</v>
      </c>
      <c r="F34" s="135">
        <v>58793.979</v>
      </c>
      <c r="G34" s="135">
        <v>29761.602</v>
      </c>
      <c r="H34" s="222">
        <f t="shared" si="6"/>
        <v>0.1896551724137931</v>
      </c>
      <c r="I34" s="135">
        <v>138</v>
      </c>
      <c r="J34" s="135">
        <v>116</v>
      </c>
      <c r="K34" s="90" t="s">
        <v>89</v>
      </c>
      <c r="M34" s="38"/>
    </row>
    <row r="35" spans="2:13" s="44" customFormat="1" ht="15.75">
      <c r="B35" s="223">
        <f t="shared" si="7"/>
        <v>0.2169576059850374</v>
      </c>
      <c r="C35" s="136">
        <f>SUM(C31:C34)</f>
        <v>488</v>
      </c>
      <c r="D35" s="136">
        <f>SUM(D31:D34)</f>
        <v>401</v>
      </c>
      <c r="E35" s="223">
        <f t="shared" si="8"/>
        <v>1.121389468963619</v>
      </c>
      <c r="F35" s="136">
        <f>SUM(F31:F34)</f>
        <v>135592.961</v>
      </c>
      <c r="G35" s="136">
        <f>SUM(G31:G34)</f>
        <v>63917.051999999996</v>
      </c>
      <c r="H35" s="223">
        <f t="shared" si="6"/>
        <v>0.15019762845849802</v>
      </c>
      <c r="I35" s="136">
        <f>SUM(I31:I34)</f>
        <v>291</v>
      </c>
      <c r="J35" s="136">
        <f>SUM(J31:J34)</f>
        <v>253</v>
      </c>
      <c r="K35" s="43" t="s">
        <v>90</v>
      </c>
      <c r="M35" s="71"/>
    </row>
    <row r="36" spans="2:20" ht="15.75">
      <c r="B36" s="222">
        <f>(C36-D36)/D36</f>
        <v>-0.336996336996337</v>
      </c>
      <c r="C36" s="135">
        <v>181</v>
      </c>
      <c r="D36" s="135">
        <v>273</v>
      </c>
      <c r="E36" s="222">
        <f t="shared" si="8"/>
        <v>-0.23295152241998973</v>
      </c>
      <c r="F36" s="135">
        <v>16034.297</v>
      </c>
      <c r="G36" s="135">
        <v>20903.89</v>
      </c>
      <c r="H36" s="222">
        <f t="shared" si="6"/>
        <v>-0.21844660194174756</v>
      </c>
      <c r="I36" s="135">
        <v>161</v>
      </c>
      <c r="J36" s="135">
        <v>206</v>
      </c>
      <c r="K36" s="90" t="s">
        <v>91</v>
      </c>
      <c r="M36" s="38"/>
      <c r="T36"/>
    </row>
    <row r="37" spans="2:13" ht="15.75">
      <c r="B37" s="222">
        <f>(C37-D37)/D37</f>
        <v>-0.05555555555555555</v>
      </c>
      <c r="C37" s="135">
        <v>34</v>
      </c>
      <c r="D37" s="135">
        <v>36</v>
      </c>
      <c r="E37" s="222">
        <f t="shared" si="8"/>
        <v>-0.16804896211180648</v>
      </c>
      <c r="F37" s="135">
        <v>5063.264</v>
      </c>
      <c r="G37" s="135">
        <v>6086.012</v>
      </c>
      <c r="H37" s="222">
        <f t="shared" si="6"/>
        <v>-0.2702702702702703</v>
      </c>
      <c r="I37" s="135">
        <v>81</v>
      </c>
      <c r="J37" s="135">
        <v>111</v>
      </c>
      <c r="K37" s="90" t="s">
        <v>92</v>
      </c>
      <c r="M37" s="38"/>
    </row>
    <row r="38" spans="2:13" ht="15.75">
      <c r="B38" s="222">
        <f>(C38-D38)/D38</f>
        <v>0.8571428571428571</v>
      </c>
      <c r="C38" s="135">
        <v>91</v>
      </c>
      <c r="D38" s="135">
        <v>49</v>
      </c>
      <c r="E38" s="222">
        <f t="shared" si="8"/>
        <v>0.6164690037986756</v>
      </c>
      <c r="F38" s="135">
        <v>7780.054</v>
      </c>
      <c r="G38" s="135">
        <v>4812.993</v>
      </c>
      <c r="H38" s="222">
        <f t="shared" si="6"/>
        <v>1.12</v>
      </c>
      <c r="I38" s="135">
        <v>106</v>
      </c>
      <c r="J38" s="135">
        <v>50</v>
      </c>
      <c r="K38" s="90" t="s">
        <v>93</v>
      </c>
      <c r="M38" s="38"/>
    </row>
    <row r="39" spans="2:13" s="44" customFormat="1" ht="15.75">
      <c r="B39" s="223">
        <f t="shared" si="7"/>
        <v>-0.1452513966480447</v>
      </c>
      <c r="C39" s="136">
        <f>SUM(C36:C38)</f>
        <v>306</v>
      </c>
      <c r="D39" s="136">
        <f>SUM(D36:D38)</f>
        <v>358</v>
      </c>
      <c r="E39" s="223">
        <f aca="true" t="shared" si="9" ref="E39:E44">(F39-G39)/G39</f>
        <v>-0.09198156331365416</v>
      </c>
      <c r="F39" s="136">
        <f>SUM(F36:F38)</f>
        <v>28877.615</v>
      </c>
      <c r="G39" s="136">
        <f>SUM(G36:G38)</f>
        <v>31802.894999999997</v>
      </c>
      <c r="H39" s="223">
        <f t="shared" si="6"/>
        <v>-0.051771117166212535</v>
      </c>
      <c r="I39" s="136">
        <f>SUM(I36:I38)</f>
        <v>348</v>
      </c>
      <c r="J39" s="136">
        <f>SUM(J36:J38)</f>
        <v>367</v>
      </c>
      <c r="K39" s="43" t="s">
        <v>94</v>
      </c>
      <c r="M39" s="71"/>
    </row>
    <row r="40" spans="2:13" ht="15.75">
      <c r="B40" s="222">
        <f t="shared" si="7"/>
        <v>0.2549019607843137</v>
      </c>
      <c r="C40" s="135">
        <v>128</v>
      </c>
      <c r="D40" s="135">
        <v>102</v>
      </c>
      <c r="E40" s="222">
        <f t="shared" si="9"/>
        <v>1.4683030818491987</v>
      </c>
      <c r="F40" s="135">
        <v>41515.093</v>
      </c>
      <c r="G40" s="135">
        <v>16819.285</v>
      </c>
      <c r="H40" s="222">
        <f t="shared" si="6"/>
        <v>0.14285714285714285</v>
      </c>
      <c r="I40" s="135">
        <v>208</v>
      </c>
      <c r="J40" s="135">
        <v>182</v>
      </c>
      <c r="K40" s="90" t="s">
        <v>95</v>
      </c>
      <c r="M40" s="38"/>
    </row>
    <row r="41" spans="2:13" ht="15.75">
      <c r="B41" s="222">
        <f t="shared" si="7"/>
        <v>-0.3614864864864865</v>
      </c>
      <c r="C41" s="135">
        <v>189</v>
      </c>
      <c r="D41" s="135">
        <v>296</v>
      </c>
      <c r="E41" s="222">
        <f t="shared" si="9"/>
        <v>0.24201961917430476</v>
      </c>
      <c r="F41" s="135">
        <v>20507.987</v>
      </c>
      <c r="G41" s="135">
        <v>16511.806</v>
      </c>
      <c r="H41" s="222">
        <f t="shared" si="6"/>
        <v>-0.27906976744186046</v>
      </c>
      <c r="I41" s="135">
        <v>155</v>
      </c>
      <c r="J41" s="135">
        <v>215</v>
      </c>
      <c r="K41" s="90" t="s">
        <v>96</v>
      </c>
      <c r="M41" s="38"/>
    </row>
    <row r="42" spans="2:13" ht="15.75">
      <c r="B42" s="222">
        <f>(C42-D42)/D42</f>
        <v>-0.28125</v>
      </c>
      <c r="C42" s="135">
        <v>69</v>
      </c>
      <c r="D42" s="135">
        <v>96</v>
      </c>
      <c r="E42" s="222">
        <f>(F42-G42)/G42</f>
        <v>-0.2118100850407464</v>
      </c>
      <c r="F42" s="135">
        <v>7286.8</v>
      </c>
      <c r="G42" s="135">
        <v>9244.98</v>
      </c>
      <c r="H42" s="222">
        <f t="shared" si="6"/>
        <v>-0.03125</v>
      </c>
      <c r="I42" s="135">
        <v>93</v>
      </c>
      <c r="J42" s="135">
        <v>96</v>
      </c>
      <c r="K42" s="90" t="s">
        <v>97</v>
      </c>
      <c r="M42" s="38"/>
    </row>
    <row r="43" spans="2:13" s="44" customFormat="1" ht="15.75">
      <c r="B43" s="223">
        <f t="shared" si="7"/>
        <v>-0.21862348178137653</v>
      </c>
      <c r="C43" s="136">
        <f>SUM(C40:C42)</f>
        <v>386</v>
      </c>
      <c r="D43" s="136">
        <f>SUM(D40:D42)</f>
        <v>494</v>
      </c>
      <c r="E43" s="223">
        <f t="shared" si="9"/>
        <v>0.6279069057358536</v>
      </c>
      <c r="F43" s="136">
        <f>SUM(F40:F42)</f>
        <v>69309.88</v>
      </c>
      <c r="G43" s="136">
        <f>SUM(G40:G42)</f>
        <v>42576.070999999996</v>
      </c>
      <c r="H43" s="223">
        <f t="shared" si="6"/>
        <v>-0.07505070993914807</v>
      </c>
      <c r="I43" s="136">
        <f>SUM(I40:I42)</f>
        <v>456</v>
      </c>
      <c r="J43" s="136">
        <f>SUM(J40:J42)</f>
        <v>493</v>
      </c>
      <c r="K43" s="43" t="s">
        <v>98</v>
      </c>
      <c r="M43" s="71"/>
    </row>
    <row r="44" spans="2:13" s="15" customFormat="1" ht="15.75">
      <c r="B44" s="223">
        <f>(C44-D44)/D44</f>
        <v>-0.018368617683686177</v>
      </c>
      <c r="C44" s="137">
        <f>C43+C39+C35+C30+C26+C21</f>
        <v>3153</v>
      </c>
      <c r="D44" s="137">
        <f>D43+D39+D35+D30+D26+D21</f>
        <v>3212</v>
      </c>
      <c r="E44" s="224">
        <f t="shared" si="9"/>
        <v>0.31041349498306253</v>
      </c>
      <c r="F44" s="137">
        <f>F43+F39+F35+F30+F26+F21</f>
        <v>544171.6039999999</v>
      </c>
      <c r="G44" s="137">
        <f>G43+G39+G35+G30+G26+G21</f>
        <v>415267.094</v>
      </c>
      <c r="H44" s="224">
        <f>(I44-J44)/J44</f>
        <v>0.05964285714285714</v>
      </c>
      <c r="I44" s="137">
        <f>I43+I39+I35+I30+I26+I21</f>
        <v>2967</v>
      </c>
      <c r="J44" s="137">
        <f>J43+J39+J35+J30+J26+J21</f>
        <v>2800</v>
      </c>
      <c r="K44" s="8" t="s">
        <v>20</v>
      </c>
      <c r="M44" s="63"/>
    </row>
    <row r="45" spans="2:13" ht="15.75">
      <c r="B45" s="225"/>
      <c r="C45" s="138"/>
      <c r="D45" s="138"/>
      <c r="E45" s="225"/>
      <c r="F45" s="138"/>
      <c r="G45" s="138"/>
      <c r="H45" s="225"/>
      <c r="I45" s="138"/>
      <c r="J45" s="138"/>
      <c r="K45" s="78" t="s">
        <v>47</v>
      </c>
      <c r="M45" s="38"/>
    </row>
    <row r="46" spans="2:13" ht="15.75">
      <c r="B46" s="222">
        <f>(C46-D46)/D46</f>
        <v>-0.9262672811059908</v>
      </c>
      <c r="C46" s="246">
        <v>16</v>
      </c>
      <c r="D46" s="246">
        <v>217</v>
      </c>
      <c r="E46" s="245">
        <f>(F46-G46)/G46</f>
        <v>-0.7608040579997772</v>
      </c>
      <c r="F46" s="246">
        <v>9844.452</v>
      </c>
      <c r="G46" s="246">
        <v>41156.434</v>
      </c>
      <c r="H46" s="245">
        <f>(I46-J46)/J46</f>
        <v>-0.5</v>
      </c>
      <c r="I46" s="246">
        <v>11</v>
      </c>
      <c r="J46" s="246">
        <v>22</v>
      </c>
      <c r="K46" s="264" t="s">
        <v>48</v>
      </c>
      <c r="M46" s="38"/>
    </row>
    <row r="47" spans="2:13" ht="15.75">
      <c r="B47" s="222">
        <f>(C47-D47)/D47</f>
        <v>-0.7846153846153846</v>
      </c>
      <c r="C47" s="135">
        <v>14</v>
      </c>
      <c r="D47" s="135">
        <v>65</v>
      </c>
      <c r="E47" s="261">
        <f>(F47-G47)/G47</f>
        <v>-0.737595067037549</v>
      </c>
      <c r="F47" s="135">
        <v>4613</v>
      </c>
      <c r="G47" s="135">
        <v>17579.7</v>
      </c>
      <c r="H47" s="261">
        <f>(I47-J47)/J47</f>
        <v>-0.5714285714285714</v>
      </c>
      <c r="I47" s="135">
        <v>3</v>
      </c>
      <c r="J47" s="135">
        <v>7</v>
      </c>
      <c r="K47" s="264" t="s">
        <v>49</v>
      </c>
      <c r="M47" s="38"/>
    </row>
    <row r="48" spans="2:16" ht="15.75">
      <c r="B48" s="222">
        <f>(C48-D48)/D48</f>
        <v>0.18550106609808104</v>
      </c>
      <c r="C48" s="135">
        <v>556</v>
      </c>
      <c r="D48" s="135">
        <v>469</v>
      </c>
      <c r="E48" s="222">
        <f>(F48-G48)/G48</f>
        <v>0.18922340300649385</v>
      </c>
      <c r="F48" s="135">
        <v>55819.447</v>
      </c>
      <c r="G48" s="135">
        <v>46937.73</v>
      </c>
      <c r="H48" s="222">
        <f>(I48-J48)/J48</f>
        <v>0.13800904977375567</v>
      </c>
      <c r="I48" s="135">
        <v>503</v>
      </c>
      <c r="J48" s="135">
        <v>442</v>
      </c>
      <c r="K48" s="264" t="s">
        <v>61</v>
      </c>
      <c r="M48" s="38"/>
      <c r="P48"/>
    </row>
    <row r="49" spans="2:13" ht="15.75">
      <c r="B49" s="222">
        <f>(C49-D49)/D49</f>
        <v>0.5084745762711864</v>
      </c>
      <c r="C49" s="246">
        <v>89</v>
      </c>
      <c r="D49" s="246">
        <v>59</v>
      </c>
      <c r="E49" s="245">
        <f>(F49-G49)/G49</f>
        <v>0.6222836323001331</v>
      </c>
      <c r="F49" s="246">
        <v>25887.703</v>
      </c>
      <c r="G49" s="246">
        <v>15957.569</v>
      </c>
      <c r="H49" s="245">
        <f>(I49-J49)/J49</f>
        <v>0.19473684210526315</v>
      </c>
      <c r="I49" s="246">
        <v>227</v>
      </c>
      <c r="J49" s="246">
        <v>190</v>
      </c>
      <c r="K49" s="264" t="s">
        <v>132</v>
      </c>
      <c r="M49" s="38"/>
    </row>
    <row r="50" spans="2:13" ht="15.75">
      <c r="B50" s="259">
        <f>(C50-D50)/D50</f>
        <v>-0.41379310344827586</v>
      </c>
      <c r="C50" s="260">
        <v>17</v>
      </c>
      <c r="D50" s="260">
        <v>29</v>
      </c>
      <c r="E50" s="259">
        <f>(F50-G50)/G50</f>
        <v>-0.49294157055337073</v>
      </c>
      <c r="F50" s="260">
        <v>3467.981</v>
      </c>
      <c r="G50" s="260">
        <v>6839.411</v>
      </c>
      <c r="H50" s="259">
        <f>(I50-J50)/J50</f>
        <v>0.09090909090909091</v>
      </c>
      <c r="I50" s="260">
        <v>24</v>
      </c>
      <c r="J50" s="139">
        <v>22</v>
      </c>
      <c r="K50" s="91" t="s">
        <v>65</v>
      </c>
      <c r="M50" s="38"/>
    </row>
    <row r="51" spans="2:13" ht="15.75">
      <c r="B51" s="74"/>
      <c r="C51" s="74"/>
      <c r="D51" s="75"/>
      <c r="E51" s="76"/>
      <c r="F51" s="76"/>
      <c r="G51" s="75"/>
      <c r="H51" s="76"/>
      <c r="I51" s="76"/>
      <c r="J51" s="75"/>
      <c r="K51" s="77"/>
      <c r="M51" s="38"/>
    </row>
    <row r="52" spans="2:13" ht="15.75">
      <c r="B52" s="74"/>
      <c r="C52" s="74"/>
      <c r="D52" s="75"/>
      <c r="E52" s="76"/>
      <c r="F52" s="76"/>
      <c r="G52" s="75"/>
      <c r="H52" s="76"/>
      <c r="I52" s="76"/>
      <c r="J52" s="75"/>
      <c r="K52" s="77"/>
      <c r="M52" s="38"/>
    </row>
    <row r="53" spans="1:13" ht="12.75">
      <c r="A53" s="38"/>
      <c r="B53" s="38"/>
      <c r="C53" s="38"/>
      <c r="D53" s="38"/>
      <c r="E53" s="38"/>
      <c r="F53" s="3"/>
      <c r="G53" s="38"/>
      <c r="H53" s="38"/>
      <c r="I53" s="38"/>
      <c r="J53" s="38"/>
      <c r="K53" s="38"/>
      <c r="L53" s="38"/>
      <c r="M53" s="38"/>
    </row>
    <row r="54" spans="1:13" ht="12.7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</row>
    <row r="55" spans="1:13" ht="12.75">
      <c r="A55" s="38"/>
      <c r="B55" s="38"/>
      <c r="C55" s="38"/>
      <c r="D55" s="38"/>
      <c r="E55" s="38"/>
      <c r="M55" s="38"/>
    </row>
    <row r="56" spans="1:13" ht="12.75">
      <c r="A56" s="45"/>
      <c r="M56" s="38"/>
    </row>
    <row r="57" ht="12.75">
      <c r="A57" s="45"/>
    </row>
    <row r="58" ht="12.75">
      <c r="A58" s="45"/>
    </row>
    <row r="59" ht="12.75">
      <c r="A59" s="45"/>
    </row>
    <row r="60" ht="12.75">
      <c r="A60" s="45"/>
    </row>
    <row r="61" ht="12.75">
      <c r="A61" s="45"/>
    </row>
    <row r="62" ht="12.75">
      <c r="A62" s="45"/>
    </row>
    <row r="63" ht="12.75">
      <c r="A63" s="45"/>
    </row>
  </sheetData>
  <sheetProtection/>
  <mergeCells count="14">
    <mergeCell ref="B7:K7"/>
    <mergeCell ref="B8:K8"/>
    <mergeCell ref="A2:C2"/>
    <mergeCell ref="A3:C3"/>
    <mergeCell ref="I3:K3"/>
    <mergeCell ref="B9:K9"/>
    <mergeCell ref="B10:J10"/>
    <mergeCell ref="B12:D12"/>
    <mergeCell ref="H11:I11"/>
    <mergeCell ref="J11:K11"/>
    <mergeCell ref="B11:C11"/>
    <mergeCell ref="K12:K13"/>
    <mergeCell ref="H12:J12"/>
    <mergeCell ref="E12:G12"/>
  </mergeCells>
  <printOptions horizontalCentered="1" verticalCentered="1"/>
  <pageMargins left="0.2755905511811024" right="0.2755905511811024" top="0.2362204724409449" bottom="0.25" header="0.31496062992125984" footer="0.57"/>
  <pageSetup fitToHeight="1" fitToWidth="1" horizontalDpi="600" verticalDpi="600" orientation="portrait" paperSize="9" scale="86" r:id="rId2"/>
  <headerFooter alignWithMargins="0">
    <oddFooter xml:space="preserve">&amp;L
&amp;C- 2 -&amp;R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view="pageBreakPreview" zoomScale="98" zoomScaleSheetLayoutView="98" zoomScalePageLayoutView="0" workbookViewId="0" topLeftCell="A1">
      <selection activeCell="C11" sqref="C11:D11"/>
    </sheetView>
  </sheetViews>
  <sheetFormatPr defaultColWidth="9.140625" defaultRowHeight="13.5" customHeight="1"/>
  <cols>
    <col min="1" max="1" width="3.8515625" style="24" customWidth="1"/>
    <col min="2" max="3" width="10.140625" style="24" bestFit="1" customWidth="1"/>
    <col min="4" max="4" width="9.140625" style="24" bestFit="1" customWidth="1"/>
    <col min="5" max="6" width="10.140625" style="24" bestFit="1" customWidth="1"/>
    <col min="7" max="7" width="9.8515625" style="24" bestFit="1" customWidth="1"/>
    <col min="8" max="8" width="10.140625" style="24" bestFit="1" customWidth="1"/>
    <col min="9" max="9" width="8.7109375" style="24" customWidth="1"/>
    <col min="10" max="10" width="9.140625" style="24" customWidth="1"/>
    <col min="11" max="11" width="9.7109375" style="24" customWidth="1"/>
    <col min="12" max="13" width="10.140625" style="24" bestFit="1" customWidth="1"/>
    <col min="14" max="14" width="14.57421875" style="24" customWidth="1"/>
    <col min="15" max="15" width="3.28125" style="24" customWidth="1"/>
    <col min="16" max="16" width="11.7109375" style="24" customWidth="1"/>
    <col min="17" max="16384" width="9.140625" style="24" customWidth="1"/>
  </cols>
  <sheetData>
    <row r="1" spans="4:16" ht="9.75" customHeight="1">
      <c r="D1" s="26"/>
      <c r="E1" s="26"/>
      <c r="F1" s="26"/>
      <c r="G1" s="26"/>
      <c r="H1" s="26"/>
      <c r="I1" s="26"/>
      <c r="J1" s="26"/>
      <c r="L1" s="27"/>
      <c r="M1" s="27"/>
      <c r="N1" s="27"/>
      <c r="O1" s="34"/>
      <c r="P1" s="26"/>
    </row>
    <row r="2" spans="1:16" ht="16.5" customHeight="1">
      <c r="A2" s="301" t="s">
        <v>55</v>
      </c>
      <c r="B2" s="282"/>
      <c r="C2" s="282"/>
      <c r="D2" s="26"/>
      <c r="E2" s="26"/>
      <c r="F2" s="26"/>
      <c r="G2" s="26"/>
      <c r="H2" s="26"/>
      <c r="I2" s="26"/>
      <c r="J2" s="26"/>
      <c r="K2" s="27"/>
      <c r="L2" s="306" t="s">
        <v>58</v>
      </c>
      <c r="M2" s="306"/>
      <c r="N2" s="306"/>
      <c r="O2" s="34"/>
      <c r="P2" s="26"/>
    </row>
    <row r="3" spans="1:16" ht="13.5" customHeight="1">
      <c r="A3" s="301" t="s">
        <v>21</v>
      </c>
      <c r="B3" s="282"/>
      <c r="C3" s="282"/>
      <c r="D3" s="26"/>
      <c r="E3" s="26"/>
      <c r="F3" s="26"/>
      <c r="G3" s="26"/>
      <c r="H3" s="26"/>
      <c r="I3" s="26"/>
      <c r="J3" s="26"/>
      <c r="L3" s="306" t="s">
        <v>131</v>
      </c>
      <c r="M3" s="306"/>
      <c r="N3" s="306"/>
      <c r="O3" s="84"/>
      <c r="P3" s="26"/>
    </row>
    <row r="4" spans="1:16" ht="8.25" customHeight="1">
      <c r="A4" s="25"/>
      <c r="B4" s="35"/>
      <c r="C4" s="26"/>
      <c r="D4" s="26"/>
      <c r="E4" s="26"/>
      <c r="F4" s="26"/>
      <c r="G4" s="26"/>
      <c r="H4" s="26"/>
      <c r="I4" s="26"/>
      <c r="J4" s="26"/>
      <c r="K4" s="27"/>
      <c r="L4" s="27"/>
      <c r="M4" s="27"/>
      <c r="N4" s="27"/>
      <c r="O4" s="36"/>
      <c r="P4" s="26"/>
    </row>
    <row r="5" spans="1:23" ht="22.5">
      <c r="A5" s="25"/>
      <c r="B5" s="298" t="s">
        <v>108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41"/>
      <c r="P5" s="41"/>
      <c r="Q5" s="41"/>
      <c r="R5" s="41"/>
      <c r="S5" s="41"/>
      <c r="T5" s="41"/>
      <c r="U5" s="41"/>
      <c r="V5" s="41"/>
      <c r="W5" s="41"/>
    </row>
    <row r="6" spans="1:16" ht="22.5">
      <c r="A6" s="25"/>
      <c r="B6" s="279" t="s">
        <v>50</v>
      </c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53"/>
      <c r="P6" s="31"/>
    </row>
    <row r="7" spans="1:16" ht="22.5">
      <c r="A7" s="25"/>
      <c r="B7" s="279" t="s">
        <v>142</v>
      </c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54"/>
      <c r="P7" s="33"/>
    </row>
    <row r="8" spans="1:16" ht="13.5" customHeight="1">
      <c r="A8" s="25"/>
      <c r="B8" s="288" t="s">
        <v>145</v>
      </c>
      <c r="C8" s="288"/>
      <c r="M8" s="293" t="s">
        <v>68</v>
      </c>
      <c r="N8" s="293"/>
      <c r="O8" s="53"/>
      <c r="P8" s="31"/>
    </row>
    <row r="9" spans="1:16" ht="13.5" customHeight="1">
      <c r="A9" s="25"/>
      <c r="B9" s="313" t="s">
        <v>51</v>
      </c>
      <c r="C9" s="314"/>
      <c r="D9" s="302" t="s">
        <v>129</v>
      </c>
      <c r="E9" s="303"/>
      <c r="F9" s="307" t="s">
        <v>128</v>
      </c>
      <c r="G9" s="308"/>
      <c r="H9" s="307" t="s">
        <v>127</v>
      </c>
      <c r="I9" s="308"/>
      <c r="J9" s="302" t="s">
        <v>126</v>
      </c>
      <c r="K9" s="303"/>
      <c r="L9" s="307" t="s">
        <v>125</v>
      </c>
      <c r="M9" s="308"/>
      <c r="N9" s="315" t="s">
        <v>19</v>
      </c>
      <c r="O9" s="34"/>
      <c r="P9" s="27"/>
    </row>
    <row r="10" spans="1:16" ht="9" customHeight="1">
      <c r="A10" s="25"/>
      <c r="B10" s="309"/>
      <c r="C10" s="310"/>
      <c r="D10" s="318"/>
      <c r="E10" s="319"/>
      <c r="F10" s="311"/>
      <c r="G10" s="312"/>
      <c r="H10" s="309"/>
      <c r="I10" s="310"/>
      <c r="J10" s="304"/>
      <c r="K10" s="305"/>
      <c r="L10" s="309"/>
      <c r="M10" s="310"/>
      <c r="N10" s="316"/>
      <c r="O10" s="34"/>
      <c r="P10" s="27"/>
    </row>
    <row r="11" spans="1:16" ht="14.25" customHeight="1">
      <c r="A11" s="25"/>
      <c r="B11" s="140">
        <v>2022</v>
      </c>
      <c r="C11" s="140">
        <v>2021</v>
      </c>
      <c r="D11" s="266">
        <v>2022</v>
      </c>
      <c r="E11" s="140">
        <v>2021</v>
      </c>
      <c r="F11" s="266">
        <v>2022</v>
      </c>
      <c r="G11" s="140">
        <v>2021</v>
      </c>
      <c r="H11" s="266">
        <v>2022</v>
      </c>
      <c r="I11" s="140">
        <v>2021</v>
      </c>
      <c r="J11" s="266">
        <v>2022</v>
      </c>
      <c r="K11" s="140">
        <v>2021</v>
      </c>
      <c r="L11" s="266">
        <v>2022</v>
      </c>
      <c r="M11" s="140">
        <v>2021</v>
      </c>
      <c r="N11" s="317"/>
      <c r="O11" s="55"/>
      <c r="P11" s="46"/>
    </row>
    <row r="12" spans="1:16" ht="12" customHeight="1">
      <c r="A12" s="25"/>
      <c r="B12" s="141">
        <f>'P2'!F14</f>
        <v>1708.742</v>
      </c>
      <c r="C12" s="141">
        <f>'P2'!G14</f>
        <v>857.856</v>
      </c>
      <c r="D12" s="141">
        <v>0</v>
      </c>
      <c r="E12" s="141">
        <v>0</v>
      </c>
      <c r="F12" s="141">
        <v>540.662</v>
      </c>
      <c r="G12" s="141">
        <v>439.98</v>
      </c>
      <c r="H12" s="141">
        <v>0</v>
      </c>
      <c r="I12" s="141">
        <v>0</v>
      </c>
      <c r="J12" s="141">
        <v>1168.08</v>
      </c>
      <c r="K12" s="141">
        <v>417.876</v>
      </c>
      <c r="L12" s="141">
        <f aca="true" t="shared" si="0" ref="L12:L18">B12-J12-H12-F12-D12</f>
        <v>0</v>
      </c>
      <c r="M12" s="141">
        <f>C12-E12-G12-I12-K12</f>
        <v>0</v>
      </c>
      <c r="N12" s="89" t="s">
        <v>69</v>
      </c>
      <c r="O12" s="56"/>
      <c r="P12" s="57"/>
    </row>
    <row r="13" spans="1:16" ht="12" customHeight="1">
      <c r="A13" s="25"/>
      <c r="B13" s="141">
        <f>'P2'!F15</f>
        <v>3743</v>
      </c>
      <c r="C13" s="141">
        <f>'P2'!G15</f>
        <v>1144.017</v>
      </c>
      <c r="D13" s="141">
        <v>688</v>
      </c>
      <c r="E13" s="141">
        <v>0</v>
      </c>
      <c r="F13" s="141">
        <v>220</v>
      </c>
      <c r="G13" s="141">
        <v>59.767</v>
      </c>
      <c r="H13" s="141">
        <v>0</v>
      </c>
      <c r="I13" s="141">
        <v>0</v>
      </c>
      <c r="J13" s="141">
        <v>0</v>
      </c>
      <c r="K13" s="141">
        <v>19</v>
      </c>
      <c r="L13" s="141">
        <f t="shared" si="0"/>
        <v>2835</v>
      </c>
      <c r="M13" s="141">
        <f aca="true" t="shared" si="1" ref="M13:M18">C13-E13-G13-I13-K13</f>
        <v>1065.25</v>
      </c>
      <c r="N13" s="89" t="s">
        <v>70</v>
      </c>
      <c r="O13" s="56"/>
      <c r="P13" s="57"/>
    </row>
    <row r="14" spans="1:16" ht="12" customHeight="1">
      <c r="A14" s="25"/>
      <c r="B14" s="141">
        <f>'P2'!F16</f>
        <v>9790.336</v>
      </c>
      <c r="C14" s="141">
        <f>'P2'!G16</f>
        <v>2906.786</v>
      </c>
      <c r="D14" s="141">
        <v>285.092</v>
      </c>
      <c r="E14" s="141">
        <v>224</v>
      </c>
      <c r="F14" s="141">
        <v>2465.83</v>
      </c>
      <c r="G14" s="141">
        <v>198</v>
      </c>
      <c r="H14" s="141">
        <v>0</v>
      </c>
      <c r="I14" s="141">
        <v>0</v>
      </c>
      <c r="J14" s="141">
        <v>0</v>
      </c>
      <c r="K14" s="141">
        <v>0</v>
      </c>
      <c r="L14" s="141">
        <f>B14-J14-H14-F14-D14</f>
        <v>7039.414</v>
      </c>
      <c r="M14" s="141">
        <f t="shared" si="1"/>
        <v>2484.786</v>
      </c>
      <c r="N14" s="89" t="s">
        <v>71</v>
      </c>
      <c r="O14" s="56"/>
      <c r="P14" s="57"/>
    </row>
    <row r="15" spans="1:16" ht="12" customHeight="1">
      <c r="A15" s="25"/>
      <c r="B15" s="141">
        <f>'P2'!F17</f>
        <v>44421.121</v>
      </c>
      <c r="C15" s="141">
        <f>'P2'!G17</f>
        <v>48251.918</v>
      </c>
      <c r="D15" s="141">
        <v>8330.661</v>
      </c>
      <c r="E15" s="141">
        <v>461.396</v>
      </c>
      <c r="F15" s="141">
        <v>1480.096</v>
      </c>
      <c r="G15" s="141">
        <v>1379.068</v>
      </c>
      <c r="H15" s="141">
        <v>0</v>
      </c>
      <c r="I15" s="141">
        <v>155.611</v>
      </c>
      <c r="J15" s="141">
        <v>3916.125</v>
      </c>
      <c r="K15" s="141">
        <v>452.643</v>
      </c>
      <c r="L15" s="141">
        <f>B15-J15-H15-F15-D15</f>
        <v>30694.239</v>
      </c>
      <c r="M15" s="141">
        <f t="shared" si="1"/>
        <v>45803.200000000004</v>
      </c>
      <c r="N15" s="89" t="s">
        <v>72</v>
      </c>
      <c r="O15" s="56"/>
      <c r="P15" s="57"/>
    </row>
    <row r="16" spans="1:16" ht="12" customHeight="1">
      <c r="A16" s="25"/>
      <c r="B16" s="141">
        <f>'P2'!F18</f>
        <v>15190.035</v>
      </c>
      <c r="C16" s="141">
        <f>'P2'!G18</f>
        <v>26049.73</v>
      </c>
      <c r="D16" s="141">
        <v>0</v>
      </c>
      <c r="E16" s="141">
        <v>2257.953</v>
      </c>
      <c r="F16" s="141">
        <v>83.98</v>
      </c>
      <c r="G16" s="141">
        <v>7.425</v>
      </c>
      <c r="H16" s="141">
        <v>0</v>
      </c>
      <c r="I16" s="141">
        <v>0</v>
      </c>
      <c r="J16" s="141">
        <v>0</v>
      </c>
      <c r="K16" s="141">
        <v>0</v>
      </c>
      <c r="L16" s="141">
        <f t="shared" si="0"/>
        <v>15106.055</v>
      </c>
      <c r="M16" s="141">
        <f t="shared" si="1"/>
        <v>23784.352</v>
      </c>
      <c r="N16" s="89" t="s">
        <v>73</v>
      </c>
      <c r="O16" s="56"/>
      <c r="P16" s="57"/>
    </row>
    <row r="17" spans="1:16" ht="12" customHeight="1">
      <c r="A17" s="25"/>
      <c r="B17" s="141">
        <f>'P2'!F19</f>
        <v>31050.935</v>
      </c>
      <c r="C17" s="141">
        <f>'P2'!G19</f>
        <v>20758.626</v>
      </c>
      <c r="D17" s="141">
        <v>0</v>
      </c>
      <c r="E17" s="141">
        <v>248</v>
      </c>
      <c r="F17" s="141">
        <v>2602</v>
      </c>
      <c r="G17" s="141">
        <v>862</v>
      </c>
      <c r="H17" s="141">
        <v>811</v>
      </c>
      <c r="I17" s="141">
        <v>140</v>
      </c>
      <c r="J17" s="141">
        <v>5525</v>
      </c>
      <c r="K17" s="141">
        <v>232</v>
      </c>
      <c r="L17" s="141">
        <f t="shared" si="0"/>
        <v>22112.935</v>
      </c>
      <c r="M17" s="141">
        <f t="shared" si="1"/>
        <v>19276.626</v>
      </c>
      <c r="N17" s="89" t="s">
        <v>74</v>
      </c>
      <c r="O17" s="56"/>
      <c r="P17" s="57"/>
    </row>
    <row r="18" spans="1:16" ht="12" customHeight="1">
      <c r="A18" s="25"/>
      <c r="B18" s="141">
        <f>'P2'!F20</f>
        <v>17717.678</v>
      </c>
      <c r="C18" s="141">
        <f>'P2'!G20</f>
        <v>3241</v>
      </c>
      <c r="D18" s="141">
        <v>500</v>
      </c>
      <c r="E18" s="141">
        <v>0</v>
      </c>
      <c r="F18" s="141">
        <v>763.5</v>
      </c>
      <c r="G18" s="141">
        <v>227</v>
      </c>
      <c r="H18" s="141">
        <v>0</v>
      </c>
      <c r="I18" s="141">
        <v>0</v>
      </c>
      <c r="J18" s="141">
        <v>0</v>
      </c>
      <c r="K18" s="141">
        <v>0</v>
      </c>
      <c r="L18" s="141">
        <f t="shared" si="0"/>
        <v>16454.178</v>
      </c>
      <c r="M18" s="141">
        <f t="shared" si="1"/>
        <v>3014</v>
      </c>
      <c r="N18" s="89" t="s">
        <v>75</v>
      </c>
      <c r="O18" s="56"/>
      <c r="P18" s="57"/>
    </row>
    <row r="19" spans="1:16" s="49" customFormat="1" ht="12" customHeight="1">
      <c r="A19" s="47"/>
      <c r="B19" s="142">
        <f>SUM(B12:B18)</f>
        <v>123621.847</v>
      </c>
      <c r="C19" s="142">
        <f>SUM(C12:C18)</f>
        <v>103209.933</v>
      </c>
      <c r="D19" s="142">
        <f aca="true" t="shared" si="2" ref="D19:M19">SUM(D12:D18)</f>
        <v>9803.753</v>
      </c>
      <c r="E19" s="142">
        <f>SUM(E12:E18)</f>
        <v>3191.349</v>
      </c>
      <c r="F19" s="142">
        <f t="shared" si="2"/>
        <v>8156.067999999999</v>
      </c>
      <c r="G19" s="142">
        <f>SUM(G12:G18)</f>
        <v>3173.2400000000002</v>
      </c>
      <c r="H19" s="142">
        <f t="shared" si="2"/>
        <v>811</v>
      </c>
      <c r="I19" s="142">
        <f>SUM(I12:I18)</f>
        <v>295.611</v>
      </c>
      <c r="J19" s="142">
        <f t="shared" si="2"/>
        <v>10609.205</v>
      </c>
      <c r="K19" s="142">
        <f>SUM(K12:K18)</f>
        <v>1121.519</v>
      </c>
      <c r="L19" s="142">
        <f t="shared" si="2"/>
        <v>94241.82100000001</v>
      </c>
      <c r="M19" s="142">
        <f t="shared" si="2"/>
        <v>95428.214</v>
      </c>
      <c r="N19" s="48" t="s">
        <v>76</v>
      </c>
      <c r="O19" s="58"/>
      <c r="P19" s="57"/>
    </row>
    <row r="20" spans="1:16" ht="12" customHeight="1">
      <c r="A20" s="25"/>
      <c r="B20" s="141">
        <f>'P2'!F22</f>
        <v>19461.486</v>
      </c>
      <c r="C20" s="141">
        <f>'P2'!G22</f>
        <v>17192.431</v>
      </c>
      <c r="D20" s="141">
        <v>201.25</v>
      </c>
      <c r="E20" s="141">
        <v>0</v>
      </c>
      <c r="F20" s="141">
        <v>8004.776</v>
      </c>
      <c r="G20" s="141">
        <v>1161.586</v>
      </c>
      <c r="H20" s="141">
        <v>0</v>
      </c>
      <c r="I20" s="141">
        <v>0</v>
      </c>
      <c r="J20" s="141">
        <v>0</v>
      </c>
      <c r="K20" s="141">
        <v>0</v>
      </c>
      <c r="L20" s="141">
        <f>B20-J20-H20-F20-D20</f>
        <v>11255.460000000001</v>
      </c>
      <c r="M20" s="141">
        <f>C20-E20-G20-I20-K20</f>
        <v>16030.845000000001</v>
      </c>
      <c r="N20" s="89" t="s">
        <v>77</v>
      </c>
      <c r="O20" s="56"/>
      <c r="P20" s="57"/>
    </row>
    <row r="21" spans="1:16" ht="12" customHeight="1">
      <c r="A21" s="25"/>
      <c r="B21" s="141">
        <f>'P2'!F23</f>
        <v>24007.223</v>
      </c>
      <c r="C21" s="141">
        <f>'P2'!G23</f>
        <v>23818.112</v>
      </c>
      <c r="D21" s="141">
        <v>131.767</v>
      </c>
      <c r="E21" s="141">
        <v>0</v>
      </c>
      <c r="F21" s="141">
        <v>10390.975</v>
      </c>
      <c r="G21" s="141">
        <v>3196.675</v>
      </c>
      <c r="H21" s="141">
        <v>0</v>
      </c>
      <c r="I21" s="141">
        <v>0</v>
      </c>
      <c r="J21" s="141">
        <v>1613.735</v>
      </c>
      <c r="K21" s="141">
        <v>0</v>
      </c>
      <c r="L21" s="141">
        <f>B21-J21-H21-F21-D21</f>
        <v>11870.746000000001</v>
      </c>
      <c r="M21" s="141">
        <f>C21-E21-G21-I21-K21</f>
        <v>20621.437</v>
      </c>
      <c r="N21" s="89" t="s">
        <v>78</v>
      </c>
      <c r="O21" s="56"/>
      <c r="P21" s="57"/>
    </row>
    <row r="22" spans="1:16" ht="12" customHeight="1">
      <c r="A22" s="25"/>
      <c r="B22" s="141">
        <f>'P2'!F24</f>
        <v>21129.457</v>
      </c>
      <c r="C22" s="141">
        <f>'P2'!G24</f>
        <v>10997.018</v>
      </c>
      <c r="D22" s="141">
        <v>1496.81</v>
      </c>
      <c r="E22" s="141">
        <v>0</v>
      </c>
      <c r="F22" s="141">
        <v>4137.056</v>
      </c>
      <c r="G22" s="141">
        <v>176.583</v>
      </c>
      <c r="H22" s="141">
        <v>0</v>
      </c>
      <c r="I22" s="141">
        <v>0</v>
      </c>
      <c r="J22" s="141">
        <v>0</v>
      </c>
      <c r="K22" s="141">
        <v>0</v>
      </c>
      <c r="L22" s="141">
        <f>B22-J22-H22-F22-D22</f>
        <v>15495.590999999999</v>
      </c>
      <c r="M22" s="141">
        <f>C22-E22-G22-I22-K22</f>
        <v>10820.435</v>
      </c>
      <c r="N22" s="89" t="s">
        <v>79</v>
      </c>
      <c r="O22" s="56"/>
      <c r="P22" s="57"/>
    </row>
    <row r="23" spans="1:16" ht="12" customHeight="1">
      <c r="A23" s="25"/>
      <c r="B23" s="141">
        <f>'P2'!F25</f>
        <v>22650.282</v>
      </c>
      <c r="C23" s="141">
        <f>'P2'!G25</f>
        <v>11903.413</v>
      </c>
      <c r="D23" s="141">
        <v>1993</v>
      </c>
      <c r="E23" s="141">
        <v>2290</v>
      </c>
      <c r="F23" s="141">
        <v>2258.016</v>
      </c>
      <c r="G23" s="141">
        <v>365.446</v>
      </c>
      <c r="H23" s="141">
        <v>0</v>
      </c>
      <c r="I23" s="141">
        <v>0</v>
      </c>
      <c r="J23" s="141">
        <v>0</v>
      </c>
      <c r="K23" s="141">
        <v>0</v>
      </c>
      <c r="L23" s="141">
        <f>B23-J23-H23-F23-D23</f>
        <v>18399.266</v>
      </c>
      <c r="M23" s="141">
        <f>C23-E23-G23-I23-K23</f>
        <v>9247.967</v>
      </c>
      <c r="N23" s="89" t="s">
        <v>80</v>
      </c>
      <c r="O23" s="56"/>
      <c r="P23" s="57"/>
    </row>
    <row r="24" spans="1:16" s="49" customFormat="1" ht="12" customHeight="1">
      <c r="A24" s="47"/>
      <c r="B24" s="142">
        <f>SUM(B20:B23)</f>
        <v>87248.448</v>
      </c>
      <c r="C24" s="142">
        <f>SUM(C20:C23)</f>
        <v>63910.974</v>
      </c>
      <c r="D24" s="142">
        <f aca="true" t="shared" si="3" ref="D24:M24">SUM(D20:D23)</f>
        <v>3822.827</v>
      </c>
      <c r="E24" s="142">
        <f>SUM(E20:E23)</f>
        <v>2290</v>
      </c>
      <c r="F24" s="142">
        <f t="shared" si="3"/>
        <v>24790.823</v>
      </c>
      <c r="G24" s="142">
        <f>SUM(G20:G23)</f>
        <v>4900.29</v>
      </c>
      <c r="H24" s="142">
        <f t="shared" si="3"/>
        <v>0</v>
      </c>
      <c r="I24" s="142">
        <f>SUM(I20:I23)</f>
        <v>0</v>
      </c>
      <c r="J24" s="142">
        <f t="shared" si="3"/>
        <v>1613.735</v>
      </c>
      <c r="K24" s="142">
        <f>SUM(K20:K23)</f>
        <v>0</v>
      </c>
      <c r="L24" s="142">
        <f t="shared" si="3"/>
        <v>57021.062999999995</v>
      </c>
      <c r="M24" s="142">
        <f t="shared" si="3"/>
        <v>56720.68400000001</v>
      </c>
      <c r="N24" s="48" t="s">
        <v>81</v>
      </c>
      <c r="O24" s="58"/>
      <c r="P24" s="57"/>
    </row>
    <row r="25" spans="1:16" ht="12" customHeight="1">
      <c r="A25" s="25"/>
      <c r="B25" s="141">
        <f>'P2'!F27</f>
        <v>32290.44</v>
      </c>
      <c r="C25" s="141">
        <f>'P2'!G27</f>
        <v>33338.015</v>
      </c>
      <c r="D25" s="141">
        <v>10382.806</v>
      </c>
      <c r="E25" s="141">
        <v>4270</v>
      </c>
      <c r="F25" s="141">
        <v>8612.382</v>
      </c>
      <c r="G25" s="141">
        <v>6821.503</v>
      </c>
      <c r="H25" s="141">
        <v>0</v>
      </c>
      <c r="I25" s="141">
        <v>0</v>
      </c>
      <c r="J25" s="141">
        <v>0</v>
      </c>
      <c r="K25" s="141">
        <v>0</v>
      </c>
      <c r="L25" s="141">
        <f>B25-J25-H25-F25-D25</f>
        <v>13295.251999999997</v>
      </c>
      <c r="M25" s="141">
        <f>C25-E25-G25-I25-K25</f>
        <v>22246.512</v>
      </c>
      <c r="N25" s="89" t="s">
        <v>82</v>
      </c>
      <c r="O25" s="56"/>
      <c r="P25" s="57"/>
    </row>
    <row r="26" spans="1:16" ht="12" customHeight="1">
      <c r="A26" s="25"/>
      <c r="B26" s="141">
        <f>'P2'!F28</f>
        <v>42004.328</v>
      </c>
      <c r="C26" s="141">
        <f>'P2'!G28</f>
        <v>37164.495</v>
      </c>
      <c r="D26" s="141">
        <v>1355.48</v>
      </c>
      <c r="E26" s="141">
        <v>2814.383</v>
      </c>
      <c r="F26" s="141">
        <v>1237.836</v>
      </c>
      <c r="G26" s="141">
        <v>438.249</v>
      </c>
      <c r="H26" s="141">
        <v>0</v>
      </c>
      <c r="I26" s="141">
        <v>0</v>
      </c>
      <c r="J26" s="141">
        <v>0</v>
      </c>
      <c r="K26" s="141">
        <v>0</v>
      </c>
      <c r="L26" s="141">
        <f>B26-J26-H26-F26-D26</f>
        <v>39411.011999999995</v>
      </c>
      <c r="M26" s="141">
        <f>C26-E26-G26-I26-K26</f>
        <v>33911.863</v>
      </c>
      <c r="N26" s="89" t="s">
        <v>83</v>
      </c>
      <c r="O26" s="56"/>
      <c r="P26" s="57"/>
    </row>
    <row r="27" spans="1:16" ht="12" customHeight="1">
      <c r="A27" s="25"/>
      <c r="B27" s="141">
        <f>'P2'!F29</f>
        <v>25226.085</v>
      </c>
      <c r="C27" s="141">
        <f>'P2'!G29</f>
        <v>39347.659</v>
      </c>
      <c r="D27" s="141">
        <v>217</v>
      </c>
      <c r="E27" s="141">
        <v>0</v>
      </c>
      <c r="F27" s="141">
        <v>4179.802</v>
      </c>
      <c r="G27" s="141">
        <v>4148.808</v>
      </c>
      <c r="H27" s="141">
        <v>0</v>
      </c>
      <c r="I27" s="141">
        <v>0</v>
      </c>
      <c r="J27" s="141">
        <v>0</v>
      </c>
      <c r="K27" s="141">
        <v>0</v>
      </c>
      <c r="L27" s="141">
        <f>B27-J27-H27-F27-D27</f>
        <v>20829.283</v>
      </c>
      <c r="M27" s="141">
        <f>C27-E27-G27-I27-K27</f>
        <v>35198.851</v>
      </c>
      <c r="N27" s="89" t="s">
        <v>84</v>
      </c>
      <c r="O27" s="56"/>
      <c r="P27" s="57"/>
    </row>
    <row r="28" spans="1:16" s="49" customFormat="1" ht="12" customHeight="1">
      <c r="A28" s="47"/>
      <c r="B28" s="142">
        <f>SUM(B25:B27)</f>
        <v>99520.853</v>
      </c>
      <c r="C28" s="142">
        <f>SUM(C25:C27)</f>
        <v>109850.16900000001</v>
      </c>
      <c r="D28" s="142">
        <f aca="true" t="shared" si="4" ref="D28:M28">SUM(D25:D27)</f>
        <v>11955.286</v>
      </c>
      <c r="E28" s="142">
        <f>SUM(E25:E27)</f>
        <v>7084.383</v>
      </c>
      <c r="F28" s="142">
        <f t="shared" si="4"/>
        <v>14030.019999999999</v>
      </c>
      <c r="G28" s="142">
        <f>SUM(G25:G27)</f>
        <v>11408.56</v>
      </c>
      <c r="H28" s="142">
        <f t="shared" si="4"/>
        <v>0</v>
      </c>
      <c r="I28" s="142">
        <f>SUM(I25:I27)</f>
        <v>0</v>
      </c>
      <c r="J28" s="142">
        <f t="shared" si="4"/>
        <v>0</v>
      </c>
      <c r="K28" s="142">
        <f>SUM(K25:K27)</f>
        <v>0</v>
      </c>
      <c r="L28" s="142">
        <f t="shared" si="4"/>
        <v>73535.54699999999</v>
      </c>
      <c r="M28" s="142">
        <f t="shared" si="4"/>
        <v>91357.226</v>
      </c>
      <c r="N28" s="48" t="s">
        <v>85</v>
      </c>
      <c r="O28" s="58"/>
      <c r="P28" s="57"/>
    </row>
    <row r="29" spans="1:16" ht="12" customHeight="1">
      <c r="A29" s="25"/>
      <c r="B29" s="141">
        <f>'P2'!F31</f>
        <v>12691.08</v>
      </c>
      <c r="C29" s="141">
        <f>'P2'!G31</f>
        <v>5056.45</v>
      </c>
      <c r="D29" s="141">
        <v>2553</v>
      </c>
      <c r="E29" s="141">
        <v>83</v>
      </c>
      <c r="F29" s="141">
        <v>310.153</v>
      </c>
      <c r="G29" s="141">
        <v>399</v>
      </c>
      <c r="H29" s="141">
        <v>9827.927</v>
      </c>
      <c r="I29" s="141">
        <v>1180.6</v>
      </c>
      <c r="J29" s="141">
        <v>0</v>
      </c>
      <c r="K29" s="141">
        <v>0</v>
      </c>
      <c r="L29" s="141">
        <f>B29-J29-H29-F29-D29</f>
        <v>0</v>
      </c>
      <c r="M29" s="141">
        <f>C29-E29-G29-I29-K29</f>
        <v>3393.85</v>
      </c>
      <c r="N29" s="89" t="s">
        <v>86</v>
      </c>
      <c r="O29" s="56"/>
      <c r="P29" s="57"/>
    </row>
    <row r="30" spans="1:16" ht="12" customHeight="1">
      <c r="A30" s="25"/>
      <c r="B30" s="141">
        <f>'P2'!F32</f>
        <v>18987.252</v>
      </c>
      <c r="C30" s="141">
        <f>'P2'!G32</f>
        <v>11010.1</v>
      </c>
      <c r="D30" s="141">
        <v>4241</v>
      </c>
      <c r="E30" s="141">
        <v>852</v>
      </c>
      <c r="F30" s="141">
        <v>1788</v>
      </c>
      <c r="G30" s="141">
        <v>1148.5</v>
      </c>
      <c r="H30" s="141">
        <v>7490</v>
      </c>
      <c r="I30" s="141">
        <v>1362</v>
      </c>
      <c r="J30" s="141">
        <v>4207.2</v>
      </c>
      <c r="K30" s="141">
        <v>7041.5</v>
      </c>
      <c r="L30" s="141">
        <f>B30-J30-H30-F30-D30</f>
        <v>1261.0519999999997</v>
      </c>
      <c r="M30" s="141">
        <f>C30-E30-G30-I30-K30</f>
        <v>606.1000000000004</v>
      </c>
      <c r="N30" s="89" t="s">
        <v>87</v>
      </c>
      <c r="O30" s="56"/>
      <c r="P30" s="57"/>
    </row>
    <row r="31" spans="1:16" ht="12" customHeight="1">
      <c r="A31" s="25"/>
      <c r="B31" s="141">
        <f>'P2'!F33</f>
        <v>45120.65</v>
      </c>
      <c r="C31" s="141">
        <f>'P2'!G33</f>
        <v>18088.9</v>
      </c>
      <c r="D31" s="141">
        <v>9645</v>
      </c>
      <c r="E31" s="141">
        <v>11010</v>
      </c>
      <c r="F31" s="141">
        <v>2713</v>
      </c>
      <c r="G31" s="141">
        <v>3865.4</v>
      </c>
      <c r="H31" s="141">
        <v>12662</v>
      </c>
      <c r="I31" s="141">
        <v>0</v>
      </c>
      <c r="J31" s="141">
        <v>8328</v>
      </c>
      <c r="K31" s="141">
        <v>1554</v>
      </c>
      <c r="L31" s="141">
        <f>B31-J31-H31-F31-D31</f>
        <v>11772.650000000001</v>
      </c>
      <c r="M31" s="141">
        <f>C31-E31-G31-I31-K31</f>
        <v>1659.5000000000014</v>
      </c>
      <c r="N31" s="89" t="s">
        <v>88</v>
      </c>
      <c r="O31" s="56"/>
      <c r="P31" s="57"/>
    </row>
    <row r="32" spans="1:16" ht="12" customHeight="1">
      <c r="A32" s="25"/>
      <c r="B32" s="141">
        <f>'P2'!F34</f>
        <v>58793.979</v>
      </c>
      <c r="C32" s="141">
        <f>'P2'!G34</f>
        <v>29761.602</v>
      </c>
      <c r="D32" s="141">
        <v>22172</v>
      </c>
      <c r="E32" s="141">
        <v>2260</v>
      </c>
      <c r="F32" s="141">
        <v>3532.949</v>
      </c>
      <c r="G32" s="141">
        <v>2528.329</v>
      </c>
      <c r="H32" s="141">
        <v>0</v>
      </c>
      <c r="I32" s="141">
        <v>0</v>
      </c>
      <c r="J32" s="141">
        <v>11188.262</v>
      </c>
      <c r="K32" s="141">
        <v>3222.842</v>
      </c>
      <c r="L32" s="141">
        <f>B32-J32-H32-F32-D32</f>
        <v>21900.767999999996</v>
      </c>
      <c r="M32" s="141">
        <f>C32-E32-G32-I32-K32</f>
        <v>21750.430999999997</v>
      </c>
      <c r="N32" s="89" t="s">
        <v>89</v>
      </c>
      <c r="O32" s="56"/>
      <c r="P32" s="57"/>
    </row>
    <row r="33" spans="1:16" s="49" customFormat="1" ht="12" customHeight="1">
      <c r="A33" s="47"/>
      <c r="B33" s="142">
        <f>SUM(B29:B32)</f>
        <v>135592.961</v>
      </c>
      <c r="C33" s="142">
        <f>SUM(C29:C32)</f>
        <v>63917.051999999996</v>
      </c>
      <c r="D33" s="142">
        <f aca="true" t="shared" si="5" ref="D33:M33">SUM(D29:D32)</f>
        <v>38611</v>
      </c>
      <c r="E33" s="142">
        <f>SUM(E29:E32)</f>
        <v>14205</v>
      </c>
      <c r="F33" s="142">
        <f t="shared" si="5"/>
        <v>8344.102</v>
      </c>
      <c r="G33" s="142">
        <f>SUM(G29:G32)</f>
        <v>7941.228999999999</v>
      </c>
      <c r="H33" s="142">
        <f t="shared" si="5"/>
        <v>29979.927</v>
      </c>
      <c r="I33" s="142">
        <f>SUM(I29:I32)</f>
        <v>2542.6</v>
      </c>
      <c r="J33" s="142">
        <f t="shared" si="5"/>
        <v>23723.462</v>
      </c>
      <c r="K33" s="142">
        <f>SUM(K29:K32)</f>
        <v>11818.342</v>
      </c>
      <c r="L33" s="142">
        <f t="shared" si="5"/>
        <v>34934.47</v>
      </c>
      <c r="M33" s="142">
        <f t="shared" si="5"/>
        <v>27409.880999999998</v>
      </c>
      <c r="N33" s="48" t="s">
        <v>90</v>
      </c>
      <c r="O33" s="58"/>
      <c r="P33" s="57"/>
    </row>
    <row r="34" spans="1:16" ht="12" customHeight="1">
      <c r="A34" s="25"/>
      <c r="B34" s="141">
        <f>'P2'!F36</f>
        <v>16034.297</v>
      </c>
      <c r="C34" s="141">
        <f>'P2'!G36</f>
        <v>20903.89</v>
      </c>
      <c r="D34" s="141">
        <v>156.7</v>
      </c>
      <c r="E34" s="141">
        <v>0</v>
      </c>
      <c r="F34" s="141">
        <v>1599.148</v>
      </c>
      <c r="G34" s="141">
        <v>1520.005</v>
      </c>
      <c r="H34" s="141">
        <v>0</v>
      </c>
      <c r="I34" s="141">
        <v>0</v>
      </c>
      <c r="J34" s="141">
        <v>0</v>
      </c>
      <c r="K34" s="141">
        <v>0</v>
      </c>
      <c r="L34" s="141">
        <f>B34-J34-H34-F34-D34</f>
        <v>14278.449</v>
      </c>
      <c r="M34" s="141">
        <f>C34-E34-G34-I34-K34</f>
        <v>19383.885</v>
      </c>
      <c r="N34" s="89" t="s">
        <v>91</v>
      </c>
      <c r="O34" s="56"/>
      <c r="P34" s="57"/>
    </row>
    <row r="35" spans="1:16" ht="12" customHeight="1">
      <c r="A35" s="25"/>
      <c r="B35" s="141">
        <f>'P2'!F37</f>
        <v>5063.264</v>
      </c>
      <c r="C35" s="141">
        <f>'P2'!G37</f>
        <v>6086.012</v>
      </c>
      <c r="D35" s="141">
        <v>766.779</v>
      </c>
      <c r="E35" s="141">
        <v>77.896</v>
      </c>
      <c r="F35" s="141">
        <v>690.988</v>
      </c>
      <c r="G35" s="141">
        <v>880.659</v>
      </c>
      <c r="H35" s="141">
        <v>0</v>
      </c>
      <c r="I35" s="141">
        <v>0</v>
      </c>
      <c r="J35" s="141">
        <v>0</v>
      </c>
      <c r="K35" s="141">
        <v>0</v>
      </c>
      <c r="L35" s="141">
        <f>B35-J35-H35-F35-D35</f>
        <v>3605.497</v>
      </c>
      <c r="M35" s="141">
        <f>C35-E35-G35-I35-K35</f>
        <v>5127.457</v>
      </c>
      <c r="N35" s="89" t="s">
        <v>92</v>
      </c>
      <c r="O35" s="56"/>
      <c r="P35" s="57"/>
    </row>
    <row r="36" spans="1:16" ht="12" customHeight="1">
      <c r="A36" s="25"/>
      <c r="B36" s="141">
        <f>'P2'!F38</f>
        <v>7780.054</v>
      </c>
      <c r="C36" s="141">
        <f>'P2'!G38</f>
        <v>4812.993</v>
      </c>
      <c r="D36" s="141">
        <v>0</v>
      </c>
      <c r="E36" s="141">
        <v>0</v>
      </c>
      <c r="F36" s="141">
        <v>1528.043</v>
      </c>
      <c r="G36" s="141">
        <v>1134.789</v>
      </c>
      <c r="H36" s="141">
        <v>0</v>
      </c>
      <c r="I36" s="141">
        <v>0</v>
      </c>
      <c r="J36" s="141">
        <v>0</v>
      </c>
      <c r="K36" s="141">
        <v>0</v>
      </c>
      <c r="L36" s="141">
        <f>B36-J36-H36-F36-D36</f>
        <v>6252.011</v>
      </c>
      <c r="M36" s="141">
        <f>C36-E36-G36-I36-K36</f>
        <v>3678.2040000000006</v>
      </c>
      <c r="N36" s="89" t="s">
        <v>93</v>
      </c>
      <c r="O36" s="56"/>
      <c r="P36" s="57"/>
    </row>
    <row r="37" spans="1:16" s="49" customFormat="1" ht="12" customHeight="1">
      <c r="A37" s="47"/>
      <c r="B37" s="142">
        <f>SUM(B34:B36)</f>
        <v>28877.615</v>
      </c>
      <c r="C37" s="142">
        <f>SUM(C34:C36)</f>
        <v>31802.894999999997</v>
      </c>
      <c r="D37" s="142">
        <f aca="true" t="shared" si="6" ref="D37:M37">SUM(D34:D36)</f>
        <v>923.479</v>
      </c>
      <c r="E37" s="142">
        <f>SUM(E34:E36)</f>
        <v>77.896</v>
      </c>
      <c r="F37" s="142">
        <f t="shared" si="6"/>
        <v>3818.179</v>
      </c>
      <c r="G37" s="142">
        <f>SUM(G34:G36)</f>
        <v>3535.4530000000004</v>
      </c>
      <c r="H37" s="142">
        <f t="shared" si="6"/>
        <v>0</v>
      </c>
      <c r="I37" s="142">
        <f>SUM(I34:I36)</f>
        <v>0</v>
      </c>
      <c r="J37" s="142">
        <f t="shared" si="6"/>
        <v>0</v>
      </c>
      <c r="K37" s="142">
        <f>SUM(K34:K36)</f>
        <v>0</v>
      </c>
      <c r="L37" s="142">
        <f t="shared" si="6"/>
        <v>24135.957000000002</v>
      </c>
      <c r="M37" s="142">
        <f t="shared" si="6"/>
        <v>28189.546</v>
      </c>
      <c r="N37" s="48" t="s">
        <v>94</v>
      </c>
      <c r="O37" s="58"/>
      <c r="P37" s="57"/>
    </row>
    <row r="38" spans="1:16" ht="12" customHeight="1">
      <c r="A38" s="25"/>
      <c r="B38" s="141">
        <f>'P2'!F40</f>
        <v>41515.093</v>
      </c>
      <c r="C38" s="141">
        <f>'P2'!G40</f>
        <v>16819.285</v>
      </c>
      <c r="D38" s="141">
        <v>0</v>
      </c>
      <c r="E38" s="141">
        <v>0</v>
      </c>
      <c r="F38" s="141">
        <v>3988.516</v>
      </c>
      <c r="G38" s="141">
        <v>2845.6</v>
      </c>
      <c r="H38" s="141">
        <v>70.311</v>
      </c>
      <c r="I38" s="141">
        <v>0</v>
      </c>
      <c r="J38" s="141">
        <v>1634.548</v>
      </c>
      <c r="K38" s="141">
        <v>1458.202</v>
      </c>
      <c r="L38" s="141">
        <f>B38-J38-H38-F38-D38</f>
        <v>35821.71799999999</v>
      </c>
      <c r="M38" s="141">
        <f>C38-E38-G38-I38-K38</f>
        <v>12515.483</v>
      </c>
      <c r="N38" s="89" t="s">
        <v>95</v>
      </c>
      <c r="O38" s="56"/>
      <c r="P38" s="57"/>
    </row>
    <row r="39" spans="1:16" ht="12" customHeight="1">
      <c r="A39" s="25"/>
      <c r="B39" s="141">
        <f>'P2'!F41</f>
        <v>20507.987</v>
      </c>
      <c r="C39" s="141">
        <f>'P2'!G41</f>
        <v>16511.806</v>
      </c>
      <c r="D39" s="141">
        <v>0</v>
      </c>
      <c r="E39" s="141">
        <v>0</v>
      </c>
      <c r="F39" s="141">
        <v>3137.2</v>
      </c>
      <c r="G39" s="141">
        <v>2545.614</v>
      </c>
      <c r="H39" s="141">
        <v>0</v>
      </c>
      <c r="I39" s="141">
        <v>0</v>
      </c>
      <c r="J39" s="141">
        <v>8474.478</v>
      </c>
      <c r="K39" s="141">
        <v>3989.675</v>
      </c>
      <c r="L39" s="141">
        <f>B39-J39-H39-F39-D39</f>
        <v>8896.309000000001</v>
      </c>
      <c r="M39" s="141">
        <f>C39-E39-G39-I39-K39</f>
        <v>9976.517</v>
      </c>
      <c r="N39" s="89" t="s">
        <v>96</v>
      </c>
      <c r="O39" s="56"/>
      <c r="P39" s="57"/>
    </row>
    <row r="40" spans="1:16" ht="12" customHeight="1">
      <c r="A40" s="25"/>
      <c r="B40" s="141">
        <f>'P2'!F42</f>
        <v>7286.8</v>
      </c>
      <c r="C40" s="141">
        <f>'P2'!G42</f>
        <v>9244.98</v>
      </c>
      <c r="D40" s="141">
        <v>0</v>
      </c>
      <c r="E40" s="141">
        <v>0</v>
      </c>
      <c r="F40" s="141">
        <v>393.95</v>
      </c>
      <c r="G40" s="141">
        <v>2074.8</v>
      </c>
      <c r="H40" s="141">
        <v>0</v>
      </c>
      <c r="I40" s="141">
        <v>0</v>
      </c>
      <c r="J40" s="141">
        <v>0</v>
      </c>
      <c r="K40" s="141">
        <v>0</v>
      </c>
      <c r="L40" s="141">
        <f>B40-J40-H40-F40-D40</f>
        <v>6892.85</v>
      </c>
      <c r="M40" s="141">
        <f>C40-E40-G40-I40-K40</f>
        <v>7170.179999999999</v>
      </c>
      <c r="N40" s="89" t="s">
        <v>97</v>
      </c>
      <c r="O40" s="56"/>
      <c r="P40" s="57"/>
    </row>
    <row r="41" spans="1:16" s="49" customFormat="1" ht="15.75">
      <c r="A41" s="47"/>
      <c r="B41" s="143">
        <f>SUM(B38:B40)</f>
        <v>69309.88</v>
      </c>
      <c r="C41" s="143">
        <f>SUM(C38:C40)</f>
        <v>42576.070999999996</v>
      </c>
      <c r="D41" s="143">
        <f aca="true" t="shared" si="7" ref="D41:M41">SUM(D38:D40)</f>
        <v>0</v>
      </c>
      <c r="E41" s="143">
        <f>SUM(E38:E40)</f>
        <v>0</v>
      </c>
      <c r="F41" s="143">
        <f t="shared" si="7"/>
        <v>7519.666</v>
      </c>
      <c r="G41" s="143">
        <f>SUM(G38:G40)</f>
        <v>7466.014</v>
      </c>
      <c r="H41" s="143">
        <f t="shared" si="7"/>
        <v>70.311</v>
      </c>
      <c r="I41" s="143">
        <f>SUM(I38:I40)</f>
        <v>0</v>
      </c>
      <c r="J41" s="143">
        <f t="shared" si="7"/>
        <v>10109.026</v>
      </c>
      <c r="K41" s="143">
        <f>SUM(K38:K40)</f>
        <v>5447.877</v>
      </c>
      <c r="L41" s="143">
        <f t="shared" si="7"/>
        <v>51610.87699999999</v>
      </c>
      <c r="M41" s="143">
        <f t="shared" si="7"/>
        <v>29662.18</v>
      </c>
      <c r="N41" s="14" t="s">
        <v>98</v>
      </c>
      <c r="O41" s="58"/>
      <c r="P41" s="57"/>
    </row>
    <row r="42" spans="1:16" s="49" customFormat="1" ht="15.75">
      <c r="A42" s="47" t="s">
        <v>0</v>
      </c>
      <c r="B42" s="142">
        <f aca="true" t="shared" si="8" ref="B42:M42">B41+B37+B33+B28+B24+B19</f>
        <v>544171.6039999999</v>
      </c>
      <c r="C42" s="142">
        <f>C41+C37+C33+C28+C24+C19</f>
        <v>415267.094</v>
      </c>
      <c r="D42" s="142">
        <f t="shared" si="8"/>
        <v>65116.345</v>
      </c>
      <c r="E42" s="142">
        <f>E41+E37+E33+E28+E24+E19</f>
        <v>26848.628000000004</v>
      </c>
      <c r="F42" s="142">
        <f t="shared" si="8"/>
        <v>66658.858</v>
      </c>
      <c r="G42" s="142">
        <f>G41+G37+G33+G28+G24+G19</f>
        <v>38424.786</v>
      </c>
      <c r="H42" s="142">
        <f t="shared" si="8"/>
        <v>30861.238</v>
      </c>
      <c r="I42" s="142">
        <f>I41+I37+I33+I28+I24+I19</f>
        <v>2838.211</v>
      </c>
      <c r="J42" s="142">
        <f t="shared" si="8"/>
        <v>46055.428</v>
      </c>
      <c r="K42" s="142">
        <f>K41+K37+K33+K28+K24+K19</f>
        <v>18387.738</v>
      </c>
      <c r="L42" s="142">
        <f t="shared" si="8"/>
        <v>335479.735</v>
      </c>
      <c r="M42" s="142">
        <f t="shared" si="8"/>
        <v>328767.731</v>
      </c>
      <c r="N42" s="48" t="s">
        <v>20</v>
      </c>
      <c r="O42" s="58"/>
      <c r="P42" s="57"/>
    </row>
    <row r="43" spans="1:16" s="52" customFormat="1" ht="15.75">
      <c r="A43" s="51" t="s">
        <v>0</v>
      </c>
      <c r="B43" s="144">
        <f>D43+F43+H43+J43+L43</f>
        <v>1</v>
      </c>
      <c r="C43" s="144">
        <f>E43+G43+I43+K43+M43</f>
        <v>1</v>
      </c>
      <c r="D43" s="144">
        <f>D42/$B$42</f>
        <v>0.11966141658505211</v>
      </c>
      <c r="E43" s="144">
        <f>E42/$C$42</f>
        <v>0.06465387792079669</v>
      </c>
      <c r="F43" s="144">
        <f>F42/$B$42</f>
        <v>0.12249602425046788</v>
      </c>
      <c r="G43" s="144">
        <f>G42/$C$42</f>
        <v>0.09253029328637342</v>
      </c>
      <c r="H43" s="144">
        <f>H42/$B$42</f>
        <v>0.05671232709158416</v>
      </c>
      <c r="I43" s="144">
        <f>I42/$C$42</f>
        <v>0.006834663860941508</v>
      </c>
      <c r="J43" s="144">
        <f>J42/$B$42</f>
        <v>0.08463401555954765</v>
      </c>
      <c r="K43" s="144">
        <f>K42/$C$42</f>
        <v>0.04427930424942363</v>
      </c>
      <c r="L43" s="144">
        <f>L42/$B$42</f>
        <v>0.6164962165133483</v>
      </c>
      <c r="M43" s="144">
        <f>M42/$C$42</f>
        <v>0.7917018606824648</v>
      </c>
      <c r="N43" s="50" t="s">
        <v>1</v>
      </c>
      <c r="O43" s="58"/>
      <c r="P43" s="57"/>
    </row>
    <row r="44" spans="1:16" ht="45" customHeight="1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 t="s">
        <v>0</v>
      </c>
      <c r="L44" s="26"/>
      <c r="M44" s="26"/>
      <c r="N44" s="26"/>
      <c r="O44" s="36"/>
      <c r="P44" s="26"/>
    </row>
    <row r="45" spans="1:16" ht="9" customHeight="1" hidden="1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36"/>
      <c r="P45" s="26"/>
    </row>
    <row r="46" spans="1:16" ht="9" customHeight="1" hidden="1">
      <c r="A46" s="59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1"/>
      <c r="P46" s="26"/>
    </row>
    <row r="47" spans="6:10" ht="13.5" customHeight="1">
      <c r="F47" s="26"/>
      <c r="G47" s="26"/>
      <c r="H47" s="26"/>
      <c r="I47" s="26"/>
      <c r="J47" s="26"/>
    </row>
    <row r="51" spans="7:10" ht="13.5" customHeight="1">
      <c r="G51" s="248"/>
      <c r="J51" s="248"/>
    </row>
  </sheetData>
  <sheetProtection/>
  <mergeCells count="16">
    <mergeCell ref="B7:N7"/>
    <mergeCell ref="N9:N11"/>
    <mergeCell ref="B8:C8"/>
    <mergeCell ref="D9:E10"/>
    <mergeCell ref="M8:N8"/>
    <mergeCell ref="L9:M10"/>
    <mergeCell ref="A2:C2"/>
    <mergeCell ref="A3:C3"/>
    <mergeCell ref="J9:K10"/>
    <mergeCell ref="L2:N2"/>
    <mergeCell ref="L3:N3"/>
    <mergeCell ref="H9:I10"/>
    <mergeCell ref="F9:G10"/>
    <mergeCell ref="B9:C10"/>
    <mergeCell ref="B5:N5"/>
    <mergeCell ref="B6:N6"/>
  </mergeCells>
  <printOptions/>
  <pageMargins left="0.35433070866141736" right="0" top="0" bottom="0" header="0.27" footer="0.3937007874015748"/>
  <pageSetup fitToHeight="1" fitToWidth="1" horizontalDpi="600" verticalDpi="600" orientation="landscape" paperSize="9" scale="94" r:id="rId2"/>
  <headerFooter alignWithMargins="0">
    <oddFooter>&amp;C- 3 -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view="pageBreakPreview" zoomScale="96" zoomScaleSheetLayoutView="96" zoomScalePageLayoutView="0" workbookViewId="0" topLeftCell="A7">
      <selection activeCell="C11" sqref="C11:D11"/>
    </sheetView>
  </sheetViews>
  <sheetFormatPr defaultColWidth="12.7109375" defaultRowHeight="12.75"/>
  <cols>
    <col min="1" max="1" width="9.140625" style="24" customWidth="1"/>
    <col min="2" max="2" width="11.7109375" style="26" customWidth="1"/>
    <col min="3" max="4" width="11.7109375" style="24" bestFit="1" customWidth="1"/>
    <col min="5" max="5" width="12.7109375" style="24" customWidth="1"/>
    <col min="6" max="6" width="11.7109375" style="24" bestFit="1" customWidth="1"/>
    <col min="7" max="7" width="14.57421875" style="24" bestFit="1" customWidth="1"/>
    <col min="8" max="8" width="21.421875" style="24" bestFit="1" customWidth="1"/>
    <col min="9" max="9" width="10.7109375" style="24" customWidth="1"/>
    <col min="10" max="10" width="12.7109375" style="26" customWidth="1"/>
    <col min="11" max="16384" width="12.7109375" style="24" customWidth="1"/>
  </cols>
  <sheetData>
    <row r="1" spans="2:9" ht="12.75">
      <c r="B1" s="23"/>
      <c r="C1" s="23"/>
      <c r="D1" s="23"/>
      <c r="E1" s="23"/>
      <c r="F1" s="23"/>
      <c r="G1" s="23"/>
      <c r="H1" s="23"/>
      <c r="I1" s="23"/>
    </row>
    <row r="2" spans="3:9" ht="15.75">
      <c r="C2" s="32" t="s">
        <v>24</v>
      </c>
      <c r="D2" s="32"/>
      <c r="E2" s="32"/>
      <c r="F2" s="26"/>
      <c r="G2" s="26"/>
      <c r="H2" s="239" t="s">
        <v>16</v>
      </c>
      <c r="I2" s="32"/>
    </row>
    <row r="3" spans="2:9" ht="15.75">
      <c r="B3" s="24"/>
      <c r="C3" s="32" t="s">
        <v>21</v>
      </c>
      <c r="D3" s="32"/>
      <c r="E3" s="32"/>
      <c r="F3" s="275" t="s">
        <v>130</v>
      </c>
      <c r="G3" s="275"/>
      <c r="H3" s="275"/>
      <c r="I3" s="32"/>
    </row>
    <row r="4" spans="2:9" ht="15.75">
      <c r="B4" s="32"/>
      <c r="C4" s="32"/>
      <c r="D4" s="32"/>
      <c r="E4" s="32"/>
      <c r="F4" s="27"/>
      <c r="G4" s="27"/>
      <c r="H4" s="32"/>
      <c r="I4" s="32"/>
    </row>
    <row r="5" spans="2:9" ht="15.75">
      <c r="B5" s="32"/>
      <c r="C5" s="32"/>
      <c r="D5" s="32"/>
      <c r="E5" s="32"/>
      <c r="F5" s="27"/>
      <c r="G5" s="27"/>
      <c r="H5" s="32"/>
      <c r="I5" s="32"/>
    </row>
    <row r="6" spans="3:9" ht="12.75">
      <c r="C6" s="26"/>
      <c r="D6" s="27"/>
      <c r="E6" s="26"/>
      <c r="F6" s="282"/>
      <c r="G6" s="282"/>
      <c r="H6" s="27"/>
      <c r="I6" s="27"/>
    </row>
    <row r="7" spans="3:20" ht="22.5">
      <c r="C7" s="298" t="s">
        <v>107</v>
      </c>
      <c r="D7" s="298"/>
      <c r="E7" s="298"/>
      <c r="F7" s="298"/>
      <c r="G7" s="298"/>
      <c r="H7" s="298"/>
      <c r="I7" s="105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</row>
    <row r="8" spans="2:9" ht="23.25">
      <c r="B8" s="159"/>
      <c r="C8" s="279" t="s">
        <v>143</v>
      </c>
      <c r="D8" s="279"/>
      <c r="E8" s="279"/>
      <c r="F8" s="279"/>
      <c r="G8" s="279"/>
      <c r="H8" s="279"/>
      <c r="I8" s="104"/>
    </row>
    <row r="9" spans="2:9" ht="23.25">
      <c r="B9" s="159"/>
      <c r="C9" s="104"/>
      <c r="D9" s="104"/>
      <c r="E9" s="104"/>
      <c r="F9" s="104"/>
      <c r="G9" s="104"/>
      <c r="H9" s="104"/>
      <c r="I9" s="104"/>
    </row>
    <row r="10" spans="3:9" ht="12.75">
      <c r="C10" s="26"/>
      <c r="D10" s="26"/>
      <c r="E10" s="26"/>
      <c r="F10" s="26"/>
      <c r="G10" s="26"/>
      <c r="H10" s="26"/>
      <c r="I10" s="26"/>
    </row>
    <row r="11" spans="3:9" ht="12.75">
      <c r="C11" s="288" t="s">
        <v>145</v>
      </c>
      <c r="D11" s="288"/>
      <c r="E11" s="26"/>
      <c r="F11" s="26"/>
      <c r="G11" s="87"/>
      <c r="H11" s="235" t="s">
        <v>68</v>
      </c>
      <c r="I11" s="71"/>
    </row>
    <row r="12" spans="3:9" ht="15.75" customHeight="1">
      <c r="C12" s="320" t="s">
        <v>123</v>
      </c>
      <c r="D12" s="323">
        <v>2022</v>
      </c>
      <c r="E12" s="324"/>
      <c r="F12" s="325">
        <v>2021</v>
      </c>
      <c r="G12" s="326"/>
      <c r="H12" s="322" t="s">
        <v>56</v>
      </c>
      <c r="I12" s="214"/>
    </row>
    <row r="13" spans="3:9" ht="15.75" customHeight="1">
      <c r="C13" s="321"/>
      <c r="D13" s="152" t="s">
        <v>1</v>
      </c>
      <c r="E13" s="147" t="s">
        <v>25</v>
      </c>
      <c r="F13" s="152" t="s">
        <v>1</v>
      </c>
      <c r="G13" s="147" t="s">
        <v>25</v>
      </c>
      <c r="H13" s="321"/>
      <c r="I13" s="214"/>
    </row>
    <row r="14" spans="3:9" ht="18.75">
      <c r="C14" s="211">
        <f>(E14-G14)/G14</f>
        <v>0.49844547581374843</v>
      </c>
      <c r="D14" s="205">
        <f>E14/$E$22</f>
        <v>0.09418071730181644</v>
      </c>
      <c r="E14" s="148">
        <v>51250.472</v>
      </c>
      <c r="F14" s="205">
        <f aca="true" t="shared" si="0" ref="F14:F21">G14/$G$22</f>
        <v>0.08236247825598242</v>
      </c>
      <c r="G14" s="148">
        <v>34202.427</v>
      </c>
      <c r="H14" s="243" t="s">
        <v>109</v>
      </c>
      <c r="I14" s="62"/>
    </row>
    <row r="15" spans="3:9" ht="18.75">
      <c r="C15" s="203">
        <f aca="true" t="shared" si="1" ref="C15:C22">(E15-G15)/G15</f>
        <v>0.25193676112769064</v>
      </c>
      <c r="D15" s="205">
        <f aca="true" t="shared" si="2" ref="D15:D21">E15/$E$22</f>
        <v>0.09571949843968706</v>
      </c>
      <c r="E15" s="149">
        <v>52087.833</v>
      </c>
      <c r="F15" s="205">
        <f t="shared" si="0"/>
        <v>0.10019046199697201</v>
      </c>
      <c r="G15" s="149">
        <v>41605.802</v>
      </c>
      <c r="H15" s="108" t="s">
        <v>110</v>
      </c>
      <c r="I15" s="62"/>
    </row>
    <row r="16" spans="3:9" ht="18.75">
      <c r="C16" s="203">
        <f t="shared" si="1"/>
        <v>0.3501015982817934</v>
      </c>
      <c r="D16" s="205">
        <f t="shared" si="2"/>
        <v>0.6152390928505708</v>
      </c>
      <c r="E16" s="149">
        <v>334795.644</v>
      </c>
      <c r="F16" s="205">
        <f t="shared" si="0"/>
        <v>0.5971532890106627</v>
      </c>
      <c r="G16" s="149">
        <v>247978.111</v>
      </c>
      <c r="H16" s="108" t="s">
        <v>26</v>
      </c>
      <c r="I16" s="62"/>
    </row>
    <row r="17" spans="3:9" ht="18.75">
      <c r="C17" s="203">
        <f t="shared" si="1"/>
        <v>0.322720715447695</v>
      </c>
      <c r="D17" s="205">
        <f t="shared" si="2"/>
        <v>0.07575684158631696</v>
      </c>
      <c r="E17" s="149">
        <v>41224.722</v>
      </c>
      <c r="F17" s="205">
        <f t="shared" si="0"/>
        <v>0.0750519640258325</v>
      </c>
      <c r="G17" s="149">
        <v>31166.611</v>
      </c>
      <c r="H17" s="108" t="s">
        <v>141</v>
      </c>
      <c r="I17" s="62"/>
    </row>
    <row r="18" spans="3:9" ht="18.75">
      <c r="C18" s="203">
        <f t="shared" si="1"/>
        <v>0.12484612330355262</v>
      </c>
      <c r="D18" s="205">
        <f t="shared" si="2"/>
        <v>0.026764274160839898</v>
      </c>
      <c r="E18" s="149">
        <v>14564.358</v>
      </c>
      <c r="F18" s="205">
        <f t="shared" si="0"/>
        <v>0.031179612319583407</v>
      </c>
      <c r="G18" s="149">
        <v>12947.867</v>
      </c>
      <c r="H18" s="108" t="s">
        <v>27</v>
      </c>
      <c r="I18" s="62"/>
    </row>
    <row r="19" spans="3:9" ht="18.75">
      <c r="C19" s="203">
        <f t="shared" si="1"/>
        <v>-0.2216126857056312</v>
      </c>
      <c r="D19" s="205">
        <f t="shared" si="2"/>
        <v>0.0363990970024963</v>
      </c>
      <c r="E19" s="149">
        <v>19807.355</v>
      </c>
      <c r="F19" s="205">
        <f t="shared" si="0"/>
        <v>0.06127780738629871</v>
      </c>
      <c r="G19" s="149">
        <v>25446.657</v>
      </c>
      <c r="H19" s="108" t="s">
        <v>28</v>
      </c>
      <c r="I19" s="62"/>
    </row>
    <row r="20" spans="3:9" ht="18.75">
      <c r="C20" s="203">
        <f t="shared" si="1"/>
        <v>0.5798178701197698</v>
      </c>
      <c r="D20" s="205">
        <f t="shared" si="2"/>
        <v>0.027479706566974727</v>
      </c>
      <c r="E20" s="256">
        <f>E22-E14-E15-E16-E17-E18-E19-E21</f>
        <v>14953.675999999969</v>
      </c>
      <c r="F20" s="205">
        <f t="shared" si="0"/>
        <v>0.02279362640758607</v>
      </c>
      <c r="G20" s="256">
        <f>G22-G14-G15-G16-G17-G18-G19-G21</f>
        <v>9465.442999999927</v>
      </c>
      <c r="H20" s="108" t="s">
        <v>29</v>
      </c>
      <c r="I20" s="62"/>
    </row>
    <row r="21" spans="3:9" ht="18.75">
      <c r="C21" s="212">
        <f t="shared" si="1"/>
        <v>0.24356231998006134</v>
      </c>
      <c r="D21" s="205">
        <f t="shared" si="2"/>
        <v>0.02846077209129788</v>
      </c>
      <c r="E21" s="150">
        <v>15487.544</v>
      </c>
      <c r="F21" s="205">
        <f t="shared" si="0"/>
        <v>0.02999076059708213</v>
      </c>
      <c r="G21" s="150">
        <v>12454.176</v>
      </c>
      <c r="H21" s="109" t="s">
        <v>30</v>
      </c>
      <c r="I21" s="62"/>
    </row>
    <row r="22" spans="3:9" ht="18.75">
      <c r="C22" s="206">
        <f t="shared" si="1"/>
        <v>0.31041349498306253</v>
      </c>
      <c r="D22" s="204">
        <f>SUM(D14:D21)</f>
        <v>1</v>
      </c>
      <c r="E22" s="151">
        <f>'P2'!F44</f>
        <v>544171.6039999999</v>
      </c>
      <c r="F22" s="204">
        <f>SUM(F14:F21)</f>
        <v>1</v>
      </c>
      <c r="G22" s="151">
        <f>'P2'!G44</f>
        <v>415267.094</v>
      </c>
      <c r="H22" s="145" t="s">
        <v>22</v>
      </c>
      <c r="I22" s="214"/>
    </row>
    <row r="23" spans="3:9" ht="12.75">
      <c r="C23" s="26"/>
      <c r="D23" s="26"/>
      <c r="E23" s="26"/>
      <c r="F23" s="26"/>
      <c r="G23" s="26"/>
      <c r="H23" s="26"/>
      <c r="I23" s="26"/>
    </row>
    <row r="24" spans="3:9" ht="12.75">
      <c r="C24" s="26"/>
      <c r="D24" s="26"/>
      <c r="E24" s="26"/>
      <c r="F24" s="26"/>
      <c r="G24" s="26"/>
      <c r="H24" s="26"/>
      <c r="I24" s="26"/>
    </row>
    <row r="25" spans="3:9" ht="12.75">
      <c r="C25" s="26"/>
      <c r="D25" s="26"/>
      <c r="E25" s="26"/>
      <c r="F25" s="26"/>
      <c r="G25" s="26"/>
      <c r="H25" s="26"/>
      <c r="I25" s="26"/>
    </row>
    <row r="26" spans="3:9" ht="12.75">
      <c r="C26" s="26"/>
      <c r="D26" s="26"/>
      <c r="E26" s="26"/>
      <c r="F26" s="26"/>
      <c r="G26" s="26"/>
      <c r="H26" s="26"/>
      <c r="I26" s="26"/>
    </row>
    <row r="27" spans="3:21" ht="22.5">
      <c r="C27" s="298" t="s">
        <v>107</v>
      </c>
      <c r="D27" s="298"/>
      <c r="E27" s="298"/>
      <c r="F27" s="298"/>
      <c r="G27" s="298"/>
      <c r="H27" s="298"/>
      <c r="I27" s="105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</row>
    <row r="28" spans="3:9" ht="22.5">
      <c r="C28" s="279" t="s">
        <v>144</v>
      </c>
      <c r="D28" s="279"/>
      <c r="E28" s="279"/>
      <c r="F28" s="279"/>
      <c r="G28" s="279"/>
      <c r="H28" s="279"/>
      <c r="I28" s="104"/>
    </row>
    <row r="29" spans="3:9" ht="22.5">
      <c r="C29" s="104"/>
      <c r="D29" s="104"/>
      <c r="E29" s="104"/>
      <c r="F29" s="104"/>
      <c r="G29" s="104"/>
      <c r="H29" s="104"/>
      <c r="I29" s="104"/>
    </row>
    <row r="30" spans="3:9" ht="22.5">
      <c r="C30" s="279"/>
      <c r="D30" s="279"/>
      <c r="E30" s="279"/>
      <c r="F30" s="279"/>
      <c r="G30" s="279"/>
      <c r="H30" s="279"/>
      <c r="I30" s="104"/>
    </row>
    <row r="31" spans="2:9" ht="12.75">
      <c r="B31" s="288" t="s">
        <v>145</v>
      </c>
      <c r="C31" s="288"/>
      <c r="D31" s="87"/>
      <c r="E31" s="26"/>
      <c r="F31" s="26"/>
      <c r="G31" s="87"/>
      <c r="H31" s="87" t="s">
        <v>68</v>
      </c>
      <c r="I31" s="27"/>
    </row>
    <row r="32" spans="2:9" ht="18.75">
      <c r="B32" s="328" t="s">
        <v>136</v>
      </c>
      <c r="C32" s="329"/>
      <c r="D32" s="323">
        <v>2022</v>
      </c>
      <c r="E32" s="324"/>
      <c r="F32" s="325">
        <v>2021</v>
      </c>
      <c r="G32" s="326"/>
      <c r="H32" s="322" t="s">
        <v>56</v>
      </c>
      <c r="I32" s="31"/>
    </row>
    <row r="33" spans="2:9" ht="18.75">
      <c r="B33" s="330" t="s">
        <v>138</v>
      </c>
      <c r="C33" s="331"/>
      <c r="D33" s="152" t="s">
        <v>1</v>
      </c>
      <c r="E33" s="145" t="s">
        <v>25</v>
      </c>
      <c r="F33" s="147" t="s">
        <v>1</v>
      </c>
      <c r="G33" s="145" t="s">
        <v>25</v>
      </c>
      <c r="H33" s="321"/>
      <c r="I33" s="31"/>
    </row>
    <row r="34" spans="2:9" ht="18.75">
      <c r="B34" s="332">
        <f>(D34-F34)/F34</f>
        <v>0.004516931629257931</v>
      </c>
      <c r="C34" s="333"/>
      <c r="D34" s="208">
        <f>E34/E38</f>
        <v>0.5183592738514154</v>
      </c>
      <c r="E34" s="155">
        <f>E38-E37-E36-E35</f>
        <v>282076.39749999996</v>
      </c>
      <c r="F34" s="208">
        <f>G34/G38</f>
        <v>0.5160284088100656</v>
      </c>
      <c r="G34" s="155">
        <f>G38-G37-G36-G35</f>
        <v>214289.61774799996</v>
      </c>
      <c r="H34" s="102" t="s">
        <v>31</v>
      </c>
      <c r="I34" s="62"/>
    </row>
    <row r="35" spans="2:9" ht="18.75">
      <c r="B35" s="334">
        <f>(D35-F35)/F35</f>
        <v>-0.11222154267862741</v>
      </c>
      <c r="C35" s="335"/>
      <c r="D35" s="207">
        <f>E35/E38</f>
        <v>0.26873690105299947</v>
      </c>
      <c r="E35" s="156">
        <f>'P5'!E43</f>
        <v>146238.99049999999</v>
      </c>
      <c r="F35" s="207">
        <f>G35/G38</f>
        <v>0.30270716622685256</v>
      </c>
      <c r="G35" s="156">
        <f>'P5'!H43</f>
        <v>125704.32525200001</v>
      </c>
      <c r="H35" s="153" t="s">
        <v>32</v>
      </c>
      <c r="I35" s="62"/>
    </row>
    <row r="36" spans="2:9" ht="18.75">
      <c r="B36" s="334"/>
      <c r="C36" s="335"/>
      <c r="D36" s="207">
        <f>E36/E38</f>
        <v>0</v>
      </c>
      <c r="E36" s="156">
        <v>0</v>
      </c>
      <c r="F36" s="207">
        <f>G36/G38</f>
        <v>0</v>
      </c>
      <c r="G36" s="156">
        <v>0</v>
      </c>
      <c r="H36" s="153" t="s">
        <v>33</v>
      </c>
      <c r="I36" s="62"/>
    </row>
    <row r="37" spans="2:9" ht="18.75">
      <c r="B37" s="336">
        <f>(D37-F37)/F37</f>
        <v>0.17454831602476584</v>
      </c>
      <c r="C37" s="337"/>
      <c r="D37" s="209">
        <f>E37/E38</f>
        <v>0.21290382509558514</v>
      </c>
      <c r="E37" s="156">
        <v>115856.216</v>
      </c>
      <c r="F37" s="209">
        <f>G37/G38</f>
        <v>0.1812644249630817</v>
      </c>
      <c r="G37" s="156">
        <v>75273.151</v>
      </c>
      <c r="H37" s="154" t="s">
        <v>34</v>
      </c>
      <c r="I37" s="62"/>
    </row>
    <row r="38" spans="2:9" ht="18.75">
      <c r="B38" s="338"/>
      <c r="C38" s="339"/>
      <c r="D38" s="210">
        <f>SUM(D34:D37)</f>
        <v>1</v>
      </c>
      <c r="E38" s="157">
        <f>E22</f>
        <v>544171.6039999999</v>
      </c>
      <c r="F38" s="210">
        <f>SUM(F34:F37)</f>
        <v>0.9999999999999999</v>
      </c>
      <c r="G38" s="158">
        <f>G22</f>
        <v>415267.094</v>
      </c>
      <c r="H38" s="152" t="s">
        <v>22</v>
      </c>
      <c r="I38" s="31"/>
    </row>
    <row r="39" spans="3:9" ht="18.75">
      <c r="C39" s="215"/>
      <c r="D39" s="216"/>
      <c r="E39" s="217"/>
      <c r="F39" s="216"/>
      <c r="G39" s="218"/>
      <c r="H39" s="31"/>
      <c r="I39" s="31"/>
    </row>
    <row r="40" spans="2:9" ht="12.75">
      <c r="B40" s="340"/>
      <c r="C40" s="340"/>
      <c r="D40" s="26"/>
      <c r="E40" s="26"/>
      <c r="F40" s="26"/>
      <c r="G40" s="26"/>
      <c r="H40" s="27"/>
      <c r="I40" s="26"/>
    </row>
    <row r="41" spans="2:8" ht="18.75">
      <c r="B41" s="274"/>
      <c r="C41" s="274"/>
      <c r="D41" s="327"/>
      <c r="E41" s="327"/>
      <c r="F41" s="327"/>
      <c r="G41" s="327"/>
      <c r="H41" s="31"/>
    </row>
    <row r="42" spans="2:8" ht="18.75">
      <c r="B42" s="31"/>
      <c r="C42" s="31"/>
      <c r="D42" s="31"/>
      <c r="E42" s="31"/>
      <c r="F42" s="31"/>
      <c r="G42" s="31"/>
      <c r="H42" s="31"/>
    </row>
    <row r="43" spans="2:8" ht="18.75">
      <c r="B43" s="241"/>
      <c r="C43" s="241"/>
      <c r="D43" s="249"/>
      <c r="E43" s="213"/>
      <c r="F43" s="241"/>
      <c r="G43" s="213"/>
      <c r="H43" s="62"/>
    </row>
    <row r="44" spans="2:8" ht="18.75">
      <c r="B44" s="241"/>
      <c r="C44" s="241"/>
      <c r="D44" s="241"/>
      <c r="E44" s="213"/>
      <c r="F44" s="241"/>
      <c r="G44" s="213"/>
      <c r="H44" s="62"/>
    </row>
    <row r="45" spans="2:8" ht="18.75">
      <c r="B45" s="241"/>
      <c r="C45" s="241"/>
      <c r="D45" s="241"/>
      <c r="E45" s="213"/>
      <c r="F45" s="241"/>
      <c r="G45" s="213"/>
      <c r="H45" s="62"/>
    </row>
    <row r="46" spans="2:8" ht="16.5" customHeight="1">
      <c r="B46" s="241"/>
      <c r="C46" s="241"/>
      <c r="D46" s="241"/>
      <c r="E46" s="213"/>
      <c r="F46" s="241"/>
      <c r="G46" s="213"/>
      <c r="H46" s="62"/>
    </row>
    <row r="47" spans="3:9" ht="18.75" hidden="1">
      <c r="C47" s="215"/>
      <c r="D47" s="216"/>
      <c r="E47" s="217"/>
      <c r="F47" s="216"/>
      <c r="G47" s="218"/>
      <c r="H47" s="31"/>
      <c r="I47" s="31"/>
    </row>
    <row r="48" spans="3:8" ht="12.75" hidden="1">
      <c r="C48" s="26"/>
      <c r="D48" s="26"/>
      <c r="E48" s="26"/>
      <c r="F48" s="26"/>
      <c r="G48" s="26"/>
      <c r="H48" s="26"/>
    </row>
    <row r="49" spans="3:8" ht="18.75">
      <c r="C49" s="26"/>
      <c r="D49" s="215"/>
      <c r="E49" s="242"/>
      <c r="F49" s="215"/>
      <c r="G49" s="242"/>
      <c r="H49" s="31"/>
    </row>
  </sheetData>
  <sheetProtection/>
  <mergeCells count="27">
    <mergeCell ref="B41:C41"/>
    <mergeCell ref="B32:C32"/>
    <mergeCell ref="B33:C33"/>
    <mergeCell ref="B34:C34"/>
    <mergeCell ref="B35:C35"/>
    <mergeCell ref="B36:C36"/>
    <mergeCell ref="B37:C37"/>
    <mergeCell ref="B38:C38"/>
    <mergeCell ref="B40:C40"/>
    <mergeCell ref="F41:G41"/>
    <mergeCell ref="D41:E41"/>
    <mergeCell ref="F12:G12"/>
    <mergeCell ref="F3:H3"/>
    <mergeCell ref="F6:G6"/>
    <mergeCell ref="C7:H7"/>
    <mergeCell ref="C27:H27"/>
    <mergeCell ref="D12:E12"/>
    <mergeCell ref="C8:H8"/>
    <mergeCell ref="H12:H13"/>
    <mergeCell ref="C12:C13"/>
    <mergeCell ref="C11:D11"/>
    <mergeCell ref="H32:H33"/>
    <mergeCell ref="C28:H28"/>
    <mergeCell ref="C30:H30"/>
    <mergeCell ref="D32:E32"/>
    <mergeCell ref="F32:G32"/>
    <mergeCell ref="B31:C31"/>
  </mergeCells>
  <printOptions horizontalCentered="1" verticalCentered="1"/>
  <pageMargins left="0.1968503937007874" right="0.1968503937007874" top="0" bottom="0" header="0.35433070866141736" footer="0.5905511811023623"/>
  <pageSetup fitToHeight="1" fitToWidth="1" horizontalDpi="600" verticalDpi="600" orientation="portrait" paperSize="9" scale="87" r:id="rId2"/>
  <headerFooter alignWithMargins="0">
    <oddFooter>&amp;C - 4 -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view="pageBreakPreview" zoomScale="98" zoomScaleSheetLayoutView="98" zoomScalePageLayoutView="0" workbookViewId="0" topLeftCell="A13">
      <selection activeCell="C11" sqref="C11:D11"/>
    </sheetView>
  </sheetViews>
  <sheetFormatPr defaultColWidth="9.00390625" defaultRowHeight="18" customHeight="1"/>
  <cols>
    <col min="1" max="1" width="5.8515625" style="9" customWidth="1"/>
    <col min="2" max="2" width="13.421875" style="9" bestFit="1" customWidth="1"/>
    <col min="3" max="3" width="12.140625" style="9" bestFit="1" customWidth="1"/>
    <col min="4" max="4" width="11.7109375" style="9" bestFit="1" customWidth="1"/>
    <col min="5" max="5" width="12.421875" style="9" bestFit="1" customWidth="1"/>
    <col min="6" max="6" width="12.00390625" style="9" bestFit="1" customWidth="1"/>
    <col min="7" max="7" width="13.140625" style="9" bestFit="1" customWidth="1"/>
    <col min="8" max="8" width="12.421875" style="9" bestFit="1" customWidth="1"/>
    <col min="9" max="9" width="12.00390625" style="9" bestFit="1" customWidth="1"/>
    <col min="10" max="10" width="15.7109375" style="9" bestFit="1" customWidth="1"/>
    <col min="11" max="11" width="3.8515625" style="9" customWidth="1"/>
    <col min="12" max="12" width="11.00390625" style="9" customWidth="1"/>
    <col min="13" max="13" width="10.57421875" style="9" customWidth="1"/>
    <col min="14" max="14" width="9.00390625" style="9" customWidth="1"/>
    <col min="15" max="15" width="9.28125" style="9" customWidth="1"/>
    <col min="16" max="16" width="9.00390625" style="22" customWidth="1"/>
    <col min="17" max="17" width="4.7109375" style="9" customWidth="1"/>
    <col min="18" max="16384" width="9.00390625" style="9" customWidth="1"/>
  </cols>
  <sheetData>
    <row r="1" spans="3:16" ht="18" customHeight="1">
      <c r="C1" s="3"/>
      <c r="D1" s="3"/>
      <c r="E1" s="3"/>
      <c r="F1" s="3"/>
      <c r="G1" s="3"/>
      <c r="H1" s="3"/>
      <c r="I1" s="3"/>
      <c r="J1" s="3"/>
      <c r="K1" s="3"/>
      <c r="L1" s="3"/>
      <c r="P1" s="9"/>
    </row>
    <row r="2" spans="1:17" ht="18" customHeight="1">
      <c r="A2" s="341" t="s">
        <v>24</v>
      </c>
      <c r="B2" s="341"/>
      <c r="C2" s="341"/>
      <c r="D2" s="3"/>
      <c r="E2" s="3"/>
      <c r="F2" s="3"/>
      <c r="G2" s="11"/>
      <c r="H2" s="11"/>
      <c r="I2" s="342" t="s">
        <v>16</v>
      </c>
      <c r="J2" s="342"/>
      <c r="K2" s="3"/>
      <c r="L2" s="3"/>
      <c r="N2" s="11"/>
      <c r="O2" s="11"/>
      <c r="P2" s="11"/>
      <c r="Q2" s="11"/>
    </row>
    <row r="3" spans="1:17" ht="18" customHeight="1">
      <c r="A3" s="341" t="s">
        <v>21</v>
      </c>
      <c r="B3" s="341"/>
      <c r="C3" s="341"/>
      <c r="D3" s="3"/>
      <c r="E3" s="3"/>
      <c r="F3" s="3"/>
      <c r="G3" s="11"/>
      <c r="H3" s="342" t="s">
        <v>131</v>
      </c>
      <c r="I3" s="342"/>
      <c r="J3" s="342"/>
      <c r="K3" s="3"/>
      <c r="L3" s="3"/>
      <c r="N3" s="11"/>
      <c r="O3" s="11"/>
      <c r="P3" s="11"/>
      <c r="Q3" s="11"/>
    </row>
    <row r="4" spans="3:17" ht="18" customHeight="1">
      <c r="C4" s="11"/>
      <c r="D4" s="3"/>
      <c r="E4" s="3"/>
      <c r="F4" s="3"/>
      <c r="G4" s="11"/>
      <c r="H4" s="11"/>
      <c r="I4" s="11"/>
      <c r="J4" s="11"/>
      <c r="K4" s="3"/>
      <c r="L4" s="3"/>
      <c r="N4" s="11"/>
      <c r="O4" s="11"/>
      <c r="P4" s="11"/>
      <c r="Q4" s="11"/>
    </row>
    <row r="5" spans="1:17" ht="18" customHeight="1">
      <c r="A5" s="12"/>
      <c r="B5" s="3"/>
      <c r="C5" s="346"/>
      <c r="D5" s="346"/>
      <c r="E5" s="346"/>
      <c r="F5" s="346"/>
      <c r="G5" s="346"/>
      <c r="H5" s="346"/>
      <c r="I5" s="346"/>
      <c r="J5" s="1"/>
      <c r="K5" s="65"/>
      <c r="L5" s="65"/>
      <c r="M5" s="65"/>
      <c r="N5" s="65"/>
      <c r="O5" s="65"/>
      <c r="P5" s="65"/>
      <c r="Q5" s="3"/>
    </row>
    <row r="6" spans="1:17" ht="22.5">
      <c r="A6" s="12"/>
      <c r="B6" s="298" t="s">
        <v>45</v>
      </c>
      <c r="C6" s="298"/>
      <c r="D6" s="298"/>
      <c r="E6" s="298"/>
      <c r="F6" s="298"/>
      <c r="G6" s="298"/>
      <c r="H6" s="298"/>
      <c r="I6" s="298"/>
      <c r="J6" s="298"/>
      <c r="K6" s="65"/>
      <c r="L6" s="65"/>
      <c r="M6" s="65"/>
      <c r="N6" s="65"/>
      <c r="O6" s="65"/>
      <c r="P6" s="65"/>
      <c r="Q6" s="3"/>
    </row>
    <row r="7" spans="1:17" ht="22.5">
      <c r="A7" s="13"/>
      <c r="B7" s="279" t="s">
        <v>62</v>
      </c>
      <c r="C7" s="279"/>
      <c r="D7" s="279"/>
      <c r="E7" s="279"/>
      <c r="F7" s="279"/>
      <c r="G7" s="279"/>
      <c r="H7" s="279"/>
      <c r="I7" s="279"/>
      <c r="J7" s="279"/>
      <c r="K7" s="65"/>
      <c r="L7" s="65"/>
      <c r="M7" s="65"/>
      <c r="N7" s="65"/>
      <c r="O7" s="65"/>
      <c r="P7" s="65"/>
      <c r="Q7" s="3"/>
    </row>
    <row r="8" spans="1:17" ht="22.5">
      <c r="A8" s="13"/>
      <c r="B8" s="279" t="s">
        <v>142</v>
      </c>
      <c r="C8" s="279"/>
      <c r="D8" s="279"/>
      <c r="E8" s="279"/>
      <c r="F8" s="279"/>
      <c r="G8" s="279"/>
      <c r="H8" s="279"/>
      <c r="I8" s="279"/>
      <c r="J8" s="279"/>
      <c r="K8" s="65"/>
      <c r="L8" s="65"/>
      <c r="M8" s="65"/>
      <c r="N8" s="65"/>
      <c r="O8" s="65"/>
      <c r="P8" s="65"/>
      <c r="Q8" s="3"/>
    </row>
    <row r="9" spans="3:17" ht="18" customHeight="1">
      <c r="C9" s="346"/>
      <c r="D9" s="346"/>
      <c r="E9" s="346"/>
      <c r="F9" s="346"/>
      <c r="G9" s="346"/>
      <c r="H9" s="346"/>
      <c r="I9" s="346"/>
      <c r="J9" s="1"/>
      <c r="K9" s="65"/>
      <c r="L9" s="65"/>
      <c r="M9" s="65"/>
      <c r="N9" s="65"/>
      <c r="O9" s="65"/>
      <c r="P9" s="65"/>
      <c r="Q9" s="3"/>
    </row>
    <row r="10" spans="1:18" ht="18" customHeight="1">
      <c r="A10" s="12"/>
      <c r="B10" s="288" t="s">
        <v>145</v>
      </c>
      <c r="C10" s="288"/>
      <c r="D10" s="3"/>
      <c r="E10" s="3"/>
      <c r="F10" s="3"/>
      <c r="G10" s="3"/>
      <c r="H10" s="3"/>
      <c r="I10" s="3"/>
      <c r="J10" s="235" t="s">
        <v>68</v>
      </c>
      <c r="K10" s="3"/>
      <c r="L10" s="3"/>
      <c r="M10" s="3"/>
      <c r="N10" s="3"/>
      <c r="O10" s="345"/>
      <c r="P10" s="345"/>
      <c r="Q10" s="3"/>
      <c r="R10" s="3"/>
    </row>
    <row r="11" spans="1:16" ht="19.5" customHeight="1">
      <c r="A11" s="12"/>
      <c r="B11" s="343" t="s">
        <v>54</v>
      </c>
      <c r="C11" s="344"/>
      <c r="D11" s="349">
        <v>2022</v>
      </c>
      <c r="E11" s="350"/>
      <c r="F11" s="351"/>
      <c r="G11" s="349">
        <v>2021</v>
      </c>
      <c r="H11" s="350"/>
      <c r="I11" s="351"/>
      <c r="J11" s="347" t="s">
        <v>19</v>
      </c>
      <c r="K11" s="3"/>
      <c r="P11" s="9"/>
    </row>
    <row r="12" spans="1:16" ht="19.5" customHeight="1">
      <c r="A12" s="12"/>
      <c r="B12" s="161" t="s">
        <v>36</v>
      </c>
      <c r="C12" s="162" t="s">
        <v>37</v>
      </c>
      <c r="D12" s="161" t="s">
        <v>53</v>
      </c>
      <c r="E12" s="161" t="s">
        <v>36</v>
      </c>
      <c r="F12" s="161" t="s">
        <v>37</v>
      </c>
      <c r="G12" s="161" t="s">
        <v>53</v>
      </c>
      <c r="H12" s="161" t="s">
        <v>36</v>
      </c>
      <c r="I12" s="161" t="s">
        <v>37</v>
      </c>
      <c r="J12" s="348"/>
      <c r="K12" s="3"/>
      <c r="P12" s="9"/>
    </row>
    <row r="13" spans="1:16" ht="19.5" customHeight="1">
      <c r="A13" s="12"/>
      <c r="B13" s="231">
        <f aca="true" t="shared" si="0" ref="B13:B24">(E13-H13)/H13</f>
        <v>1.2323269787107782</v>
      </c>
      <c r="C13" s="232">
        <f>'P2'!E14</f>
        <v>0.9918750932557445</v>
      </c>
      <c r="D13" s="228">
        <f aca="true" t="shared" si="1" ref="D13:D19">E13/F13</f>
        <v>0.22895322992002304</v>
      </c>
      <c r="E13" s="163">
        <v>391.222</v>
      </c>
      <c r="F13" s="165">
        <f>'P2'!F14</f>
        <v>1708.742</v>
      </c>
      <c r="G13" s="228">
        <f aca="true" t="shared" si="2" ref="G13:G24">H13/I13</f>
        <v>0.20429186250373021</v>
      </c>
      <c r="H13" s="163">
        <v>175.253</v>
      </c>
      <c r="I13" s="163">
        <f>'P2'!G14</f>
        <v>857.856</v>
      </c>
      <c r="J13" s="160" t="s">
        <v>69</v>
      </c>
      <c r="K13" s="3"/>
      <c r="P13" s="9"/>
    </row>
    <row r="14" spans="1:16" ht="19.5" customHeight="1">
      <c r="A14" s="12"/>
      <c r="B14" s="231">
        <f t="shared" si="0"/>
        <v>2.8511272354688244</v>
      </c>
      <c r="C14" s="232">
        <f>'P2'!E15</f>
        <v>2.271804527380275</v>
      </c>
      <c r="D14" s="228">
        <f t="shared" si="1"/>
        <v>0.3072783863211328</v>
      </c>
      <c r="E14" s="163">
        <v>1150.143</v>
      </c>
      <c r="F14" s="165">
        <f>'P2'!F15</f>
        <v>3743</v>
      </c>
      <c r="G14" s="228">
        <f t="shared" si="2"/>
        <v>0.2610546871244046</v>
      </c>
      <c r="H14" s="163">
        <v>298.651</v>
      </c>
      <c r="I14" s="163">
        <f>'P2'!G15</f>
        <v>1144.017</v>
      </c>
      <c r="J14" s="160" t="s">
        <v>70</v>
      </c>
      <c r="K14" s="3"/>
      <c r="P14" s="9"/>
    </row>
    <row r="15" spans="1:16" ht="19.5" customHeight="1">
      <c r="A15" s="12"/>
      <c r="B15" s="231">
        <f t="shared" si="0"/>
        <v>0.7317110704103018</v>
      </c>
      <c r="C15" s="232">
        <f>'P2'!E16</f>
        <v>2.3680965850255227</v>
      </c>
      <c r="D15" s="228">
        <f t="shared" si="1"/>
        <v>0.18735444830494072</v>
      </c>
      <c r="E15" s="163">
        <v>1834.263</v>
      </c>
      <c r="F15" s="165">
        <f>'P2'!F16</f>
        <v>9790.336</v>
      </c>
      <c r="G15" s="228">
        <f t="shared" si="2"/>
        <v>0.36439559018104534</v>
      </c>
      <c r="H15" s="163">
        <v>1059.22</v>
      </c>
      <c r="I15" s="163">
        <f>'P2'!G16</f>
        <v>2906.786</v>
      </c>
      <c r="J15" s="160" t="s">
        <v>71</v>
      </c>
      <c r="K15" s="3"/>
      <c r="P15" s="9"/>
    </row>
    <row r="16" spans="1:16" ht="19.5" customHeight="1">
      <c r="A16" s="12"/>
      <c r="B16" s="231">
        <f t="shared" si="0"/>
        <v>-0.034137460172963166</v>
      </c>
      <c r="C16" s="232">
        <f>'P2'!E17</f>
        <v>-0.07939160055772289</v>
      </c>
      <c r="D16" s="228">
        <f t="shared" si="1"/>
        <v>0.2098539116111005</v>
      </c>
      <c r="E16" s="163">
        <v>9321.946</v>
      </c>
      <c r="F16" s="165">
        <f>'P2'!F17</f>
        <v>44421.121</v>
      </c>
      <c r="G16" s="228">
        <f t="shared" si="2"/>
        <v>0.20002149966349525</v>
      </c>
      <c r="H16" s="163">
        <v>9651.421</v>
      </c>
      <c r="I16" s="163">
        <f>'P2'!G17</f>
        <v>48251.918</v>
      </c>
      <c r="J16" s="160" t="s">
        <v>72</v>
      </c>
      <c r="K16" s="3"/>
      <c r="P16" s="9"/>
    </row>
    <row r="17" spans="1:16" ht="19.5" customHeight="1">
      <c r="A17" s="12"/>
      <c r="B17" s="231">
        <f t="shared" si="0"/>
        <v>-0.41889586159773284</v>
      </c>
      <c r="C17" s="232">
        <f>'P2'!E18</f>
        <v>-0.4168832076186586</v>
      </c>
      <c r="D17" s="228">
        <f t="shared" si="1"/>
        <v>0.23223652875059209</v>
      </c>
      <c r="E17" s="163">
        <v>3527.681</v>
      </c>
      <c r="F17" s="165">
        <f>'P2'!F18</f>
        <v>15190.035</v>
      </c>
      <c r="G17" s="228">
        <f t="shared" si="2"/>
        <v>0.23304087988627906</v>
      </c>
      <c r="H17" s="163">
        <v>6070.652</v>
      </c>
      <c r="I17" s="163">
        <f>'P2'!G18</f>
        <v>26049.73</v>
      </c>
      <c r="J17" s="160" t="s">
        <v>73</v>
      </c>
      <c r="K17" s="3"/>
      <c r="P17" s="9"/>
    </row>
    <row r="18" spans="1:16" ht="19.5" customHeight="1">
      <c r="A18" s="12"/>
      <c r="B18" s="231">
        <f t="shared" si="0"/>
        <v>0.9643184504054968</v>
      </c>
      <c r="C18" s="232">
        <f>'P2'!E19</f>
        <v>0.4958087784808109</v>
      </c>
      <c r="D18" s="228">
        <f t="shared" si="1"/>
        <v>0.3082270147420681</v>
      </c>
      <c r="E18" s="163">
        <v>9570.737</v>
      </c>
      <c r="F18" s="165">
        <f>'P2'!F19</f>
        <v>31050.935</v>
      </c>
      <c r="G18" s="228">
        <f t="shared" si="2"/>
        <v>0.23471177716675468</v>
      </c>
      <c r="H18" s="163">
        <v>4872.294</v>
      </c>
      <c r="I18" s="163">
        <f>'P2'!G19</f>
        <v>20758.626</v>
      </c>
      <c r="J18" s="160" t="s">
        <v>74</v>
      </c>
      <c r="K18" s="3"/>
      <c r="P18" s="9"/>
    </row>
    <row r="19" spans="1:16" ht="19.5" customHeight="1">
      <c r="A19" s="12"/>
      <c r="B19" s="231">
        <f t="shared" si="0"/>
        <v>1.9925772655624592</v>
      </c>
      <c r="C19" s="232">
        <f>'P2'!E20</f>
        <v>4.466731872878741</v>
      </c>
      <c r="D19" s="228">
        <f t="shared" si="1"/>
        <v>0.17350597521864886</v>
      </c>
      <c r="E19" s="163">
        <v>3074.123</v>
      </c>
      <c r="F19" s="165">
        <f>'P2'!F20</f>
        <v>17717.678</v>
      </c>
      <c r="G19" s="228">
        <f t="shared" si="2"/>
        <v>0.3169544378278309</v>
      </c>
      <c r="H19" s="163">
        <v>1027.249333</v>
      </c>
      <c r="I19" s="163">
        <f>'P2'!G20</f>
        <v>3241</v>
      </c>
      <c r="J19" s="160" t="s">
        <v>75</v>
      </c>
      <c r="K19" s="3"/>
      <c r="P19" s="9"/>
    </row>
    <row r="20" spans="1:15" s="15" customFormat="1" ht="19.5" customHeight="1">
      <c r="A20" s="12"/>
      <c r="B20" s="233">
        <f t="shared" si="0"/>
        <v>0.24683389166988315</v>
      </c>
      <c r="C20" s="230">
        <f>'P2'!E21</f>
        <v>0.19777082889880365</v>
      </c>
      <c r="D20" s="230">
        <f aca="true" t="shared" si="3" ref="D20:D28">E20/F20</f>
        <v>0.2335357034424506</v>
      </c>
      <c r="E20" s="158">
        <f>SUM(E13:E19)</f>
        <v>28870.114999999998</v>
      </c>
      <c r="F20" s="164">
        <f>'P2'!F21</f>
        <v>123621.847</v>
      </c>
      <c r="G20" s="229">
        <f t="shared" si="2"/>
        <v>0.22434604557877197</v>
      </c>
      <c r="H20" s="158">
        <f>SUM(H13:H19)</f>
        <v>23154.740333</v>
      </c>
      <c r="I20" s="158">
        <f>SUM(I13:I19)</f>
        <v>103209.933</v>
      </c>
      <c r="J20" s="99" t="s">
        <v>76</v>
      </c>
      <c r="K20" s="63"/>
      <c r="O20" s="228"/>
    </row>
    <row r="21" spans="1:16" ht="19.5" customHeight="1">
      <c r="A21" s="16"/>
      <c r="B21" s="231">
        <f t="shared" si="0"/>
        <v>-0.009297786072006974</v>
      </c>
      <c r="C21" s="232">
        <f>'P2'!E22</f>
        <v>0.13197988114653478</v>
      </c>
      <c r="D21" s="228">
        <f t="shared" si="3"/>
        <v>0.274741522821022</v>
      </c>
      <c r="E21" s="163">
        <v>5346.8783</v>
      </c>
      <c r="F21" s="165">
        <f>'P2'!F22</f>
        <v>19461.486</v>
      </c>
      <c r="G21" s="228">
        <f t="shared" si="2"/>
        <v>0.3139206433342673</v>
      </c>
      <c r="H21" s="163">
        <v>5397.059</v>
      </c>
      <c r="I21" s="163">
        <f>'P2'!G22</f>
        <v>17192.431</v>
      </c>
      <c r="J21" s="160" t="s">
        <v>77</v>
      </c>
      <c r="K21" s="3"/>
      <c r="P21" s="9"/>
    </row>
    <row r="22" spans="1:16" ht="19.5" customHeight="1">
      <c r="A22" s="12"/>
      <c r="B22" s="231">
        <f t="shared" si="0"/>
        <v>0.28617484688587974</v>
      </c>
      <c r="C22" s="232">
        <f>'P2'!E23</f>
        <v>0.007939798083072276</v>
      </c>
      <c r="D22" s="228">
        <f t="shared" si="3"/>
        <v>0.3483932439832795</v>
      </c>
      <c r="E22" s="163">
        <v>8363.9543</v>
      </c>
      <c r="F22" s="165">
        <f>'P2'!F23</f>
        <v>24007.223</v>
      </c>
      <c r="G22" s="228">
        <f t="shared" si="2"/>
        <v>0.2730261883477582</v>
      </c>
      <c r="H22" s="163">
        <v>6502.968333</v>
      </c>
      <c r="I22" s="163">
        <f>'P2'!G23</f>
        <v>23818.112</v>
      </c>
      <c r="J22" s="160" t="s">
        <v>78</v>
      </c>
      <c r="K22" s="3"/>
      <c r="P22" s="9"/>
    </row>
    <row r="23" spans="1:16" ht="19.5" customHeight="1">
      <c r="A23" s="12"/>
      <c r="B23" s="231">
        <f t="shared" si="0"/>
        <v>0.8566645702445886</v>
      </c>
      <c r="C23" s="232">
        <f>'P2'!E24</f>
        <v>0.9213805960852295</v>
      </c>
      <c r="D23" s="228">
        <f t="shared" si="3"/>
        <v>0.3425828358958775</v>
      </c>
      <c r="E23" s="163">
        <v>7238.5893</v>
      </c>
      <c r="F23" s="165">
        <f>'P2'!F24</f>
        <v>21129.457</v>
      </c>
      <c r="G23" s="228">
        <f t="shared" si="2"/>
        <v>0.35452392639531916</v>
      </c>
      <c r="H23" s="163">
        <v>3898.706</v>
      </c>
      <c r="I23" s="163">
        <f>'P2'!G24</f>
        <v>10997.018</v>
      </c>
      <c r="J23" s="160" t="s">
        <v>79</v>
      </c>
      <c r="K23" s="3"/>
      <c r="P23" s="9"/>
    </row>
    <row r="24" spans="1:16" ht="19.5" customHeight="1">
      <c r="A24" s="12"/>
      <c r="B24" s="231">
        <f t="shared" si="0"/>
        <v>0.8795724262664025</v>
      </c>
      <c r="C24" s="232">
        <f>'P2'!E25</f>
        <v>0.9028392949148281</v>
      </c>
      <c r="D24" s="228">
        <f t="shared" si="3"/>
        <v>0.3341608859439366</v>
      </c>
      <c r="E24" s="163">
        <v>7568.8383</v>
      </c>
      <c r="F24" s="165">
        <f>'P2'!F25</f>
        <v>22650.282</v>
      </c>
      <c r="G24" s="228">
        <f t="shared" si="2"/>
        <v>0.3382973998297799</v>
      </c>
      <c r="H24" s="163">
        <v>4026.893667</v>
      </c>
      <c r="I24" s="163">
        <f>'P2'!G25</f>
        <v>11903.413</v>
      </c>
      <c r="J24" s="160" t="s">
        <v>80</v>
      </c>
      <c r="K24" s="3"/>
      <c r="P24" s="9"/>
    </row>
    <row r="25" spans="1:11" s="15" customFormat="1" ht="19.5" customHeight="1">
      <c r="A25" s="12"/>
      <c r="B25" s="233">
        <f aca="true" t="shared" si="4" ref="B25:B42">(E25-H25)/H25</f>
        <v>0.4384543903706047</v>
      </c>
      <c r="C25" s="230">
        <f>'P2'!E26</f>
        <v>0.3651559746218232</v>
      </c>
      <c r="D25" s="230">
        <f t="shared" si="3"/>
        <v>0.32686266465163943</v>
      </c>
      <c r="E25" s="158">
        <f>SUM(E21:E24)</f>
        <v>28518.2602</v>
      </c>
      <c r="F25" s="164">
        <f>'P2'!F26</f>
        <v>87248.448</v>
      </c>
      <c r="G25" s="229">
        <f aca="true" t="shared" si="5" ref="G25:G42">H25/I25</f>
        <v>0.3102069294077728</v>
      </c>
      <c r="H25" s="158">
        <f>SUM(H21:H24)</f>
        <v>19825.627</v>
      </c>
      <c r="I25" s="158">
        <f>SUM(I21:I24)</f>
        <v>63910.974</v>
      </c>
      <c r="J25" s="99" t="s">
        <v>81</v>
      </c>
      <c r="K25" s="63"/>
    </row>
    <row r="26" spans="1:16" ht="19.5" customHeight="1">
      <c r="A26" s="16"/>
      <c r="B26" s="231">
        <f t="shared" si="4"/>
        <v>-0.0855621583410768</v>
      </c>
      <c r="C26" s="232">
        <f>'P2'!E27</f>
        <v>-0.03142283666259076</v>
      </c>
      <c r="D26" s="228">
        <f t="shared" si="3"/>
        <v>0.3617508154116203</v>
      </c>
      <c r="E26" s="163">
        <v>11681.093</v>
      </c>
      <c r="F26" s="165">
        <f>'P2'!F27</f>
        <v>32290.44</v>
      </c>
      <c r="G26" s="228">
        <f t="shared" si="5"/>
        <v>0.38316828401451014</v>
      </c>
      <c r="H26" s="163">
        <v>12774.07</v>
      </c>
      <c r="I26" s="163">
        <f>'P2'!G27</f>
        <v>33338.015</v>
      </c>
      <c r="J26" s="160" t="s">
        <v>82</v>
      </c>
      <c r="K26" s="3"/>
      <c r="P26" s="9"/>
    </row>
    <row r="27" spans="1:16" ht="19.5" customHeight="1">
      <c r="A27" s="12"/>
      <c r="B27" s="231">
        <f t="shared" si="4"/>
        <v>0.2714681471477962</v>
      </c>
      <c r="C27" s="232">
        <f>'P2'!E28</f>
        <v>0.13022733122029503</v>
      </c>
      <c r="D27" s="228">
        <f t="shared" si="3"/>
        <v>0.3655559017632659</v>
      </c>
      <c r="E27" s="163">
        <v>15354.93</v>
      </c>
      <c r="F27" s="165">
        <f>'P2'!F28</f>
        <v>42004.328</v>
      </c>
      <c r="G27" s="228">
        <f t="shared" si="5"/>
        <v>0.3249481885869833</v>
      </c>
      <c r="H27" s="163">
        <v>12076.53533</v>
      </c>
      <c r="I27" s="163">
        <f>'P2'!G28</f>
        <v>37164.495</v>
      </c>
      <c r="J27" s="160" t="s">
        <v>83</v>
      </c>
      <c r="K27" s="3"/>
      <c r="P27" s="9"/>
    </row>
    <row r="28" spans="1:16" ht="19.5" customHeight="1">
      <c r="A28" s="12"/>
      <c r="B28" s="231">
        <f t="shared" si="4"/>
        <v>-0.3836256118084008</v>
      </c>
      <c r="C28" s="232">
        <f>'P2'!E29</f>
        <v>-0.3588923549428951</v>
      </c>
      <c r="D28" s="228">
        <f t="shared" si="3"/>
        <v>0.37958573436980014</v>
      </c>
      <c r="E28" s="163">
        <v>9575.462</v>
      </c>
      <c r="F28" s="165">
        <f>'P2'!F29</f>
        <v>25226.085</v>
      </c>
      <c r="G28" s="228">
        <f t="shared" si="5"/>
        <v>0.3948173722355376</v>
      </c>
      <c r="H28" s="163">
        <v>15535.13933</v>
      </c>
      <c r="I28" s="163">
        <f>'P2'!G29</f>
        <v>39347.659</v>
      </c>
      <c r="J28" s="160" t="s">
        <v>84</v>
      </c>
      <c r="K28" s="3"/>
      <c r="P28" s="9"/>
    </row>
    <row r="29" spans="1:11" s="15" customFormat="1" ht="19.5" customHeight="1">
      <c r="A29" s="12"/>
      <c r="B29" s="233">
        <f t="shared" si="4"/>
        <v>-0.09345524495771415</v>
      </c>
      <c r="C29" s="230">
        <f>'P2'!E30</f>
        <v>-0.09403095228738342</v>
      </c>
      <c r="D29" s="230">
        <f aca="true" t="shared" si="6" ref="D29:D35">E29/F29</f>
        <v>0.3678775241204976</v>
      </c>
      <c r="E29" s="158">
        <f>SUM(E26:E28)</f>
        <v>36611.485</v>
      </c>
      <c r="F29" s="164">
        <f>'P2'!F30</f>
        <v>99520.853</v>
      </c>
      <c r="G29" s="229">
        <f t="shared" si="5"/>
        <v>0.36764390103032063</v>
      </c>
      <c r="H29" s="158">
        <f>SUM(H26:H28)</f>
        <v>40385.74466</v>
      </c>
      <c r="I29" s="158">
        <f>SUM(I26:I28)</f>
        <v>109850.16900000001</v>
      </c>
      <c r="J29" s="99" t="s">
        <v>85</v>
      </c>
      <c r="K29" s="63"/>
    </row>
    <row r="30" spans="1:16" ht="19.5" customHeight="1">
      <c r="A30" s="16"/>
      <c r="B30" s="231">
        <f t="shared" si="4"/>
        <v>1.1011643287088395</v>
      </c>
      <c r="C30" s="232">
        <f>'P2'!E31</f>
        <v>1.5098794608865904</v>
      </c>
      <c r="D30" s="228">
        <f t="shared" si="6"/>
        <v>0.17386242935983384</v>
      </c>
      <c r="E30" s="163">
        <v>2206.502</v>
      </c>
      <c r="F30" s="165">
        <f>'P2'!F31</f>
        <v>12691.08</v>
      </c>
      <c r="G30" s="228">
        <f t="shared" si="5"/>
        <v>0.2076818716688586</v>
      </c>
      <c r="H30" s="163">
        <v>1050.133</v>
      </c>
      <c r="I30" s="163">
        <f>'P2'!G31</f>
        <v>5056.45</v>
      </c>
      <c r="J30" s="160" t="s">
        <v>86</v>
      </c>
      <c r="K30" s="3"/>
      <c r="P30" s="9"/>
    </row>
    <row r="31" spans="1:16" ht="19.5" customHeight="1">
      <c r="A31" s="12"/>
      <c r="B31" s="231">
        <f t="shared" si="4"/>
        <v>0.5253914842071679</v>
      </c>
      <c r="C31" s="232">
        <f>'P2'!E32</f>
        <v>0.7245303857367326</v>
      </c>
      <c r="D31" s="228">
        <f t="shared" si="6"/>
        <v>0.19412640649631657</v>
      </c>
      <c r="E31" s="163">
        <v>3685.927</v>
      </c>
      <c r="F31" s="165">
        <f>'P2'!F32</f>
        <v>18987.252</v>
      </c>
      <c r="G31" s="228">
        <f t="shared" si="5"/>
        <v>0.2194694871072924</v>
      </c>
      <c r="H31" s="163">
        <v>2416.381</v>
      </c>
      <c r="I31" s="163">
        <f>'P2'!G32</f>
        <v>11010.1</v>
      </c>
      <c r="J31" s="160" t="s">
        <v>87</v>
      </c>
      <c r="K31" s="3"/>
      <c r="P31" s="9"/>
    </row>
    <row r="32" spans="1:16" ht="19.5" customHeight="1">
      <c r="A32" s="12"/>
      <c r="B32" s="231">
        <f t="shared" si="4"/>
        <v>0.5608036144168156</v>
      </c>
      <c r="C32" s="232">
        <f>'P2'!E33</f>
        <v>1.4943832958333563</v>
      </c>
      <c r="D32" s="228">
        <f t="shared" si="6"/>
        <v>0.19204550466360748</v>
      </c>
      <c r="E32" s="163">
        <v>8665.218</v>
      </c>
      <c r="F32" s="165">
        <f>'P2'!F33</f>
        <v>45120.65</v>
      </c>
      <c r="G32" s="228">
        <f t="shared" si="5"/>
        <v>0.3069156775702226</v>
      </c>
      <c r="H32" s="163">
        <v>5551.767</v>
      </c>
      <c r="I32" s="163">
        <f>'P2'!G33</f>
        <v>18088.9</v>
      </c>
      <c r="J32" s="160" t="s">
        <v>88</v>
      </c>
      <c r="K32" s="3"/>
      <c r="P32" s="9"/>
    </row>
    <row r="33" spans="1:16" ht="19.5" customHeight="1">
      <c r="A33" s="12"/>
      <c r="B33" s="231">
        <f t="shared" si="4"/>
        <v>0.4081299685458006</v>
      </c>
      <c r="C33" s="232">
        <f>'P2'!E34</f>
        <v>0.9754977907439257</v>
      </c>
      <c r="D33" s="228">
        <f t="shared" si="6"/>
        <v>0.17199992536650732</v>
      </c>
      <c r="E33" s="163">
        <v>10112.56</v>
      </c>
      <c r="F33" s="165">
        <f>'P2'!F34</f>
        <v>58793.979</v>
      </c>
      <c r="G33" s="228">
        <f t="shared" si="5"/>
        <v>0.24130263552345066</v>
      </c>
      <c r="H33" s="163">
        <v>7181.553</v>
      </c>
      <c r="I33" s="163">
        <f>'P2'!G34</f>
        <v>29761.602</v>
      </c>
      <c r="J33" s="160" t="s">
        <v>89</v>
      </c>
      <c r="K33" s="3"/>
      <c r="P33" s="9"/>
    </row>
    <row r="34" spans="1:11" s="15" customFormat="1" ht="19.5" customHeight="1">
      <c r="A34" s="12"/>
      <c r="B34" s="233">
        <f t="shared" si="4"/>
        <v>0.5228678886462667</v>
      </c>
      <c r="C34" s="230">
        <f>'P2'!E35</f>
        <v>1.121389468963619</v>
      </c>
      <c r="D34" s="230">
        <f t="shared" si="6"/>
        <v>0.18194312461396872</v>
      </c>
      <c r="E34" s="158">
        <f>SUM(E30:E33)</f>
        <v>24670.207000000002</v>
      </c>
      <c r="F34" s="164">
        <f>'P2'!F35</f>
        <v>135592.961</v>
      </c>
      <c r="G34" s="229">
        <f t="shared" si="5"/>
        <v>0.25345089444988794</v>
      </c>
      <c r="H34" s="158">
        <f>SUM(H30:H33)</f>
        <v>16199.833999999999</v>
      </c>
      <c r="I34" s="158">
        <f>SUM(I30:I33)</f>
        <v>63917.051999999996</v>
      </c>
      <c r="J34" s="99" t="s">
        <v>90</v>
      </c>
      <c r="K34" s="63"/>
    </row>
    <row r="35" spans="1:16" ht="19.5" customHeight="1">
      <c r="A35" s="16"/>
      <c r="B35" s="231">
        <f t="shared" si="4"/>
        <v>-0.2041491518765943</v>
      </c>
      <c r="C35" s="232">
        <f>'P2'!E36</f>
        <v>-0.23295152241998973</v>
      </c>
      <c r="D35" s="228">
        <f t="shared" si="6"/>
        <v>0.37795759302699705</v>
      </c>
      <c r="E35" s="163">
        <v>6060.2843</v>
      </c>
      <c r="F35" s="165">
        <f>'P2'!F36</f>
        <v>16034.297</v>
      </c>
      <c r="G35" s="228">
        <f t="shared" si="5"/>
        <v>0.36427905681669775</v>
      </c>
      <c r="H35" s="163">
        <v>7614.849333</v>
      </c>
      <c r="I35" s="163">
        <f>'P2'!G36</f>
        <v>20903.89</v>
      </c>
      <c r="J35" s="160" t="s">
        <v>91</v>
      </c>
      <c r="K35" s="3"/>
      <c r="P35" s="9"/>
    </row>
    <row r="36" spans="1:16" ht="19.5" customHeight="1">
      <c r="A36" s="12"/>
      <c r="B36" s="231">
        <f t="shared" si="4"/>
        <v>-0.19378769195714277</v>
      </c>
      <c r="C36" s="232">
        <f>'P2'!E37</f>
        <v>-0.16804896211180648</v>
      </c>
      <c r="D36" s="228">
        <f aca="true" t="shared" si="7" ref="D36:D43">E36/F36</f>
        <v>0.34566674777376805</v>
      </c>
      <c r="E36" s="163">
        <v>1750.202</v>
      </c>
      <c r="F36" s="165">
        <f>'P2'!F37</f>
        <v>5063.264</v>
      </c>
      <c r="G36" s="228">
        <f t="shared" si="5"/>
        <v>0.3567023310174216</v>
      </c>
      <c r="H36" s="163">
        <v>2170.894667</v>
      </c>
      <c r="I36" s="163">
        <f>'P2'!G37</f>
        <v>6086.012</v>
      </c>
      <c r="J36" s="160" t="s">
        <v>92</v>
      </c>
      <c r="K36" s="3"/>
      <c r="P36" s="9"/>
    </row>
    <row r="37" spans="1:16" ht="19.5" customHeight="1">
      <c r="A37" s="12"/>
      <c r="B37" s="231">
        <f t="shared" si="4"/>
        <v>0.5618096611238347</v>
      </c>
      <c r="C37" s="232"/>
      <c r="D37" s="228">
        <f t="shared" si="7"/>
        <v>0.3172632220804637</v>
      </c>
      <c r="E37" s="163">
        <v>2468.325</v>
      </c>
      <c r="F37" s="165">
        <f>'P2'!F38</f>
        <v>7780.054</v>
      </c>
      <c r="G37" s="228">
        <f t="shared" si="5"/>
        <v>0.3283666232217666</v>
      </c>
      <c r="H37" s="163">
        <v>1580.426259</v>
      </c>
      <c r="I37" s="163">
        <f>'P2'!G38</f>
        <v>4812.993</v>
      </c>
      <c r="J37" s="160" t="s">
        <v>93</v>
      </c>
      <c r="K37" s="3"/>
      <c r="P37" s="9"/>
    </row>
    <row r="38" spans="1:11" s="15" customFormat="1" ht="19.5" customHeight="1">
      <c r="A38" s="12"/>
      <c r="B38" s="233">
        <f t="shared" si="4"/>
        <v>-0.09566625646303362</v>
      </c>
      <c r="C38" s="230">
        <f>'P2'!E39</f>
        <v>-0.09198156331365416</v>
      </c>
      <c r="D38" s="230">
        <f t="shared" si="7"/>
        <v>0.3559439136507638</v>
      </c>
      <c r="E38" s="158">
        <f>SUM(E35:E37)</f>
        <v>10278.811300000001</v>
      </c>
      <c r="F38" s="164">
        <f>'P2'!F39</f>
        <v>28877.615</v>
      </c>
      <c r="G38" s="229">
        <f>H38/I38</f>
        <v>0.3573942013455065</v>
      </c>
      <c r="H38" s="158">
        <f>SUM(H35:H37)</f>
        <v>11366.170259</v>
      </c>
      <c r="I38" s="158">
        <f>SUM(I35:I37)</f>
        <v>31802.894999999997</v>
      </c>
      <c r="J38" s="99" t="s">
        <v>94</v>
      </c>
      <c r="K38" s="63"/>
    </row>
    <row r="39" spans="1:16" ht="19.5" customHeight="1">
      <c r="A39" s="16"/>
      <c r="B39" s="231">
        <f t="shared" si="4"/>
        <v>0.6599433592684008</v>
      </c>
      <c r="C39" s="232">
        <f>'P2'!E40</f>
        <v>1.4683030818491987</v>
      </c>
      <c r="D39" s="228">
        <f>E39/F39</f>
        <v>0.21098678497480422</v>
      </c>
      <c r="E39" s="163">
        <v>8759.136</v>
      </c>
      <c r="F39" s="165">
        <f>'P2'!F40</f>
        <v>41515.093</v>
      </c>
      <c r="G39" s="228">
        <f t="shared" si="5"/>
        <v>0.3137331937713167</v>
      </c>
      <c r="H39" s="163">
        <v>5276.768</v>
      </c>
      <c r="I39" s="163">
        <f>'P2'!G40</f>
        <v>16819.285</v>
      </c>
      <c r="J39" s="160" t="s">
        <v>95</v>
      </c>
      <c r="K39" s="3"/>
      <c r="P39" s="9"/>
    </row>
    <row r="40" spans="1:16" ht="19.5" customHeight="1">
      <c r="A40" s="12"/>
      <c r="B40" s="231">
        <f t="shared" si="4"/>
        <v>-0.08731008081266335</v>
      </c>
      <c r="C40" s="232">
        <f>'P2'!E41</f>
        <v>0.24201961917430476</v>
      </c>
      <c r="D40" s="228">
        <f>E40/F40</f>
        <v>0.2899221654470524</v>
      </c>
      <c r="E40" s="163">
        <v>5945.72</v>
      </c>
      <c r="F40" s="165">
        <f>'P2'!F41</f>
        <v>20507.987</v>
      </c>
      <c r="G40" s="228">
        <f t="shared" si="5"/>
        <v>0.39453598637241744</v>
      </c>
      <c r="H40" s="163">
        <v>6514.501667</v>
      </c>
      <c r="I40" s="163">
        <f>'P2'!G41</f>
        <v>16511.806</v>
      </c>
      <c r="J40" s="160" t="s">
        <v>96</v>
      </c>
      <c r="K40" s="3"/>
      <c r="P40" s="9"/>
    </row>
    <row r="41" spans="1:16" ht="19.5" customHeight="1">
      <c r="A41" s="12"/>
      <c r="B41" s="231">
        <f t="shared" si="4"/>
        <v>-0.13273780134323854</v>
      </c>
      <c r="C41" s="232">
        <f>'P2'!E42</f>
        <v>-0.2118100850407464</v>
      </c>
      <c r="D41" s="228">
        <f>E41/F41</f>
        <v>0.35478618872481743</v>
      </c>
      <c r="E41" s="163">
        <v>2585.256</v>
      </c>
      <c r="F41" s="165">
        <f>'P2'!F42</f>
        <v>7286.8</v>
      </c>
      <c r="G41" s="228">
        <f t="shared" si="5"/>
        <v>0.3224387000296377</v>
      </c>
      <c r="H41" s="163">
        <v>2980.939333</v>
      </c>
      <c r="I41" s="163">
        <f>'P2'!G42</f>
        <v>9244.98</v>
      </c>
      <c r="J41" s="160" t="s">
        <v>97</v>
      </c>
      <c r="K41" s="3"/>
      <c r="P41" s="9"/>
    </row>
    <row r="42" spans="1:11" s="17" customFormat="1" ht="19.5" customHeight="1">
      <c r="A42" s="12"/>
      <c r="B42" s="233">
        <f t="shared" si="4"/>
        <v>0.17044864447829028</v>
      </c>
      <c r="C42" s="230">
        <f>'P2'!E43</f>
        <v>0.6279069057358536</v>
      </c>
      <c r="D42" s="230">
        <f t="shared" si="7"/>
        <v>0.24946100036531588</v>
      </c>
      <c r="E42" s="158">
        <f>SUM(E39:E41)</f>
        <v>17290.112</v>
      </c>
      <c r="F42" s="164">
        <f>'P2'!F43</f>
        <v>69309.88</v>
      </c>
      <c r="G42" s="229">
        <f t="shared" si="5"/>
        <v>0.34696036184268864</v>
      </c>
      <c r="H42" s="158">
        <f>SUM(H39:H41)</f>
        <v>14772.209</v>
      </c>
      <c r="I42" s="158">
        <f>SUM(I39:I41)</f>
        <v>42576.070999999996</v>
      </c>
      <c r="J42" s="99" t="s">
        <v>98</v>
      </c>
      <c r="K42" s="11"/>
    </row>
    <row r="43" spans="1:16" ht="19.5" customHeight="1">
      <c r="A43" s="18"/>
      <c r="B43" s="233">
        <f>(E43-H43)/H43</f>
        <v>0.16335687102917137</v>
      </c>
      <c r="C43" s="230">
        <f>'P2'!E44</f>
        <v>0.31041349498306253</v>
      </c>
      <c r="D43" s="230">
        <f t="shared" si="7"/>
        <v>0.26873690105299947</v>
      </c>
      <c r="E43" s="164">
        <f>E42+E38+E34+E29+E20+E25</f>
        <v>146238.99049999999</v>
      </c>
      <c r="F43" s="164">
        <f>'P2'!F44</f>
        <v>544171.6039999999</v>
      </c>
      <c r="G43" s="229">
        <f>H43/I43</f>
        <v>0.30270716622685256</v>
      </c>
      <c r="H43" s="164">
        <f>H42+H38+H34+H29+H20+H25</f>
        <v>125704.32525200001</v>
      </c>
      <c r="I43" s="164">
        <f>I42+I38+I34+I29+I20+I25</f>
        <v>415267.094</v>
      </c>
      <c r="J43" s="99" t="s">
        <v>20</v>
      </c>
      <c r="K43" s="3"/>
      <c r="P43" s="9"/>
    </row>
    <row r="44" spans="1:18" ht="18" customHeight="1">
      <c r="A44" s="12"/>
      <c r="B44" s="3"/>
      <c r="C44" s="3" t="s">
        <v>0</v>
      </c>
      <c r="D44" s="3"/>
      <c r="E44" s="3" t="s">
        <v>0</v>
      </c>
      <c r="F44" s="3"/>
      <c r="G44" s="63"/>
      <c r="H44" s="3"/>
      <c r="I44" s="3"/>
      <c r="J44" s="3"/>
      <c r="K44" s="3"/>
      <c r="L44" s="3"/>
      <c r="M44" s="3"/>
      <c r="N44" s="3"/>
      <c r="O44" s="3"/>
      <c r="P44" s="10"/>
      <c r="Q44" s="3"/>
      <c r="R44" s="3"/>
    </row>
    <row r="45" spans="1:18" ht="59.25" customHeight="1">
      <c r="A45" s="1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10"/>
      <c r="Q45" s="3"/>
      <c r="R45" s="3"/>
    </row>
    <row r="46" spans="1:17" ht="18" customHeight="1" hidden="1" thickBot="1">
      <c r="A46" s="12"/>
      <c r="B46" s="3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20"/>
      <c r="Q46" s="21"/>
    </row>
    <row r="47" spans="1:2" ht="18" customHeight="1">
      <c r="A47" s="3"/>
      <c r="B47" s="3"/>
    </row>
  </sheetData>
  <sheetProtection/>
  <mergeCells count="15">
    <mergeCell ref="B11:C11"/>
    <mergeCell ref="O10:P10"/>
    <mergeCell ref="C9:I9"/>
    <mergeCell ref="C5:I5"/>
    <mergeCell ref="B8:J8"/>
    <mergeCell ref="B10:C10"/>
    <mergeCell ref="J11:J12"/>
    <mergeCell ref="D11:F11"/>
    <mergeCell ref="G11:I11"/>
    <mergeCell ref="A2:C2"/>
    <mergeCell ref="A3:C3"/>
    <mergeCell ref="B6:J6"/>
    <mergeCell ref="B7:J7"/>
    <mergeCell ref="H3:J3"/>
    <mergeCell ref="I2:J2"/>
  </mergeCells>
  <printOptions horizontalCentered="1" verticalCentered="1"/>
  <pageMargins left="0.1968503937007874" right="0" top="0.1968503937007874" bottom="0.31496062992125984" header="0.4330708661417323" footer="0.5118110236220472"/>
  <pageSetup fitToHeight="1" fitToWidth="1" horizontalDpi="300" verticalDpi="300" orientation="portrait" paperSize="9" scale="81" r:id="rId2"/>
  <headerFooter alignWithMargins="0">
    <oddFooter>&amp;C- 5 -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view="pageBreakPreview" zoomScale="106" zoomScaleSheetLayoutView="106" zoomScalePageLayoutView="0" workbookViewId="0" topLeftCell="A13">
      <selection activeCell="C11" sqref="C11:D11"/>
    </sheetView>
  </sheetViews>
  <sheetFormatPr defaultColWidth="8.7109375" defaultRowHeight="12.75"/>
  <cols>
    <col min="1" max="1" width="7.28125" style="9" customWidth="1"/>
    <col min="2" max="2" width="10.57421875" style="9" customWidth="1"/>
    <col min="3" max="4" width="11.28125" style="9" bestFit="1" customWidth="1"/>
    <col min="5" max="5" width="10.00390625" style="9" bestFit="1" customWidth="1"/>
    <col min="6" max="6" width="8.421875" style="9" bestFit="1" customWidth="1"/>
    <col min="7" max="7" width="10.28125" style="9" customWidth="1"/>
    <col min="8" max="8" width="25.57421875" style="9" customWidth="1"/>
    <col min="9" max="9" width="2.00390625" style="9" customWidth="1"/>
    <col min="10" max="16384" width="8.7109375" style="9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9" ht="12.75">
      <c r="A2" s="11"/>
      <c r="C2" s="3"/>
      <c r="D2" s="3"/>
      <c r="E2" s="11"/>
      <c r="F2" s="11"/>
      <c r="G2" s="11"/>
      <c r="H2" s="11"/>
      <c r="I2" s="11"/>
    </row>
    <row r="3" spans="1:9" ht="15.75">
      <c r="A3" s="11"/>
      <c r="B3" s="86" t="s">
        <v>24</v>
      </c>
      <c r="C3" s="3"/>
      <c r="D3" s="3"/>
      <c r="E3" s="11"/>
      <c r="F3" s="11"/>
      <c r="G3" s="11"/>
      <c r="H3" s="80" t="s">
        <v>16</v>
      </c>
      <c r="I3" s="80"/>
    </row>
    <row r="4" spans="1:9" ht="29.25" customHeight="1">
      <c r="A4" s="12"/>
      <c r="B4" s="79" t="s">
        <v>21</v>
      </c>
      <c r="C4" s="3"/>
      <c r="D4" s="3"/>
      <c r="E4" s="3"/>
      <c r="F4" s="3"/>
      <c r="G4" s="342" t="s">
        <v>130</v>
      </c>
      <c r="H4" s="342"/>
      <c r="I4" s="80"/>
    </row>
    <row r="5" spans="1:9" ht="29.25" customHeight="1">
      <c r="A5" s="12"/>
      <c r="B5" s="79"/>
      <c r="C5" s="3"/>
      <c r="D5" s="3"/>
      <c r="E5" s="3"/>
      <c r="F5" s="3"/>
      <c r="G5" s="3"/>
      <c r="H5" s="79"/>
      <c r="I5" s="79"/>
    </row>
    <row r="6" spans="1:11" ht="29.25" customHeight="1">
      <c r="A6" s="12"/>
      <c r="B6" s="298" t="s">
        <v>111</v>
      </c>
      <c r="C6" s="298"/>
      <c r="D6" s="298"/>
      <c r="E6" s="298"/>
      <c r="F6" s="298"/>
      <c r="G6" s="298"/>
      <c r="H6" s="298"/>
      <c r="I6" s="41"/>
      <c r="J6" s="41"/>
      <c r="K6" s="41"/>
    </row>
    <row r="7" spans="1:11" ht="29.25" customHeight="1">
      <c r="A7" s="12"/>
      <c r="B7" s="279" t="s">
        <v>63</v>
      </c>
      <c r="C7" s="279"/>
      <c r="D7" s="279"/>
      <c r="E7" s="279"/>
      <c r="F7" s="279"/>
      <c r="G7" s="279"/>
      <c r="H7" s="279"/>
      <c r="I7" s="31"/>
      <c r="J7" s="31"/>
      <c r="K7" s="31"/>
    </row>
    <row r="8" spans="1:11" ht="22.5">
      <c r="A8" s="12"/>
      <c r="B8" s="279" t="s">
        <v>142</v>
      </c>
      <c r="C8" s="279"/>
      <c r="D8" s="279"/>
      <c r="E8" s="279"/>
      <c r="F8" s="279"/>
      <c r="G8" s="279"/>
      <c r="H8" s="279"/>
      <c r="I8" s="31"/>
      <c r="J8" s="31"/>
      <c r="K8" s="31"/>
    </row>
    <row r="9" spans="1:9" ht="10.5" customHeight="1">
      <c r="A9" s="12"/>
      <c r="B9" s="1"/>
      <c r="C9" s="1"/>
      <c r="D9" s="1"/>
      <c r="E9" s="1"/>
      <c r="F9" s="1" t="s">
        <v>0</v>
      </c>
      <c r="G9" s="1"/>
      <c r="H9" s="1"/>
      <c r="I9" s="3"/>
    </row>
    <row r="10" spans="1:9" ht="18.75">
      <c r="A10" s="12"/>
      <c r="B10" s="346"/>
      <c r="C10" s="346"/>
      <c r="D10" s="346"/>
      <c r="E10" s="346"/>
      <c r="F10" s="346"/>
      <c r="G10" s="346"/>
      <c r="H10" s="346"/>
      <c r="I10" s="3"/>
    </row>
    <row r="11" spans="1:9" ht="18.75">
      <c r="A11" s="12"/>
      <c r="B11" s="2"/>
      <c r="C11" s="2"/>
      <c r="D11" s="2"/>
      <c r="E11" s="2"/>
      <c r="F11" s="2"/>
      <c r="G11" s="2"/>
      <c r="H11" s="2"/>
      <c r="I11" s="3"/>
    </row>
    <row r="12" spans="1:9" ht="12.75" customHeight="1">
      <c r="A12" s="12"/>
      <c r="B12" s="288" t="s">
        <v>145</v>
      </c>
      <c r="C12" s="288"/>
      <c r="D12" s="3"/>
      <c r="E12" s="3"/>
      <c r="F12" s="3"/>
      <c r="G12" s="3"/>
      <c r="H12" s="235" t="s">
        <v>68</v>
      </c>
      <c r="I12" s="71"/>
    </row>
    <row r="13" spans="1:9" ht="18.75">
      <c r="A13" s="12"/>
      <c r="B13" s="237" t="s">
        <v>37</v>
      </c>
      <c r="C13" s="2"/>
      <c r="D13" s="4"/>
      <c r="E13" s="83" t="s">
        <v>35</v>
      </c>
      <c r="F13" s="85"/>
      <c r="G13" s="4"/>
      <c r="H13" s="294" t="s">
        <v>19</v>
      </c>
      <c r="I13" s="3"/>
    </row>
    <row r="14" spans="1:9" ht="18.75">
      <c r="A14" s="12"/>
      <c r="B14" s="99" t="s">
        <v>52</v>
      </c>
      <c r="C14" s="98">
        <v>2022</v>
      </c>
      <c r="D14" s="8">
        <v>2021</v>
      </c>
      <c r="E14" s="99" t="s">
        <v>52</v>
      </c>
      <c r="F14" s="98">
        <v>2022</v>
      </c>
      <c r="G14" s="8">
        <v>2021</v>
      </c>
      <c r="H14" s="352"/>
      <c r="I14" s="3"/>
    </row>
    <row r="15" spans="1:9" ht="15.75">
      <c r="A15" s="12"/>
      <c r="B15" s="226">
        <f>(C15-D15)/D15</f>
        <v>0.40151398433830454</v>
      </c>
      <c r="C15" s="166">
        <f>1169.766+7053.707</f>
        <v>8223.473</v>
      </c>
      <c r="D15" s="166">
        <f>0+5867.564</f>
        <v>5867.564</v>
      </c>
      <c r="E15" s="226">
        <f aca="true" t="shared" si="0" ref="E15:E31">(F15-G15)/G15</f>
        <v>0.125</v>
      </c>
      <c r="F15" s="166">
        <f>4+41</f>
        <v>45</v>
      </c>
      <c r="G15" s="166">
        <f>0+40</f>
        <v>40</v>
      </c>
      <c r="H15" s="5" t="s">
        <v>69</v>
      </c>
      <c r="I15" s="3"/>
    </row>
    <row r="16" spans="1:9" ht="15.75">
      <c r="A16" s="12"/>
      <c r="B16" s="226">
        <f>(C16-D16)/D16</f>
        <v>-0.1044814806913779</v>
      </c>
      <c r="C16" s="166">
        <f>1231.51+5736.919</f>
        <v>6968.429</v>
      </c>
      <c r="D16" s="166">
        <f>655+7126.446</f>
        <v>7781.446</v>
      </c>
      <c r="E16" s="226">
        <f t="shared" si="0"/>
        <v>-0.061224489795918366</v>
      </c>
      <c r="F16" s="166">
        <f>4+42</f>
        <v>46</v>
      </c>
      <c r="G16" s="166">
        <f>4+45</f>
        <v>49</v>
      </c>
      <c r="H16" s="6" t="s">
        <v>70</v>
      </c>
      <c r="I16" s="3"/>
    </row>
    <row r="17" spans="1:9" ht="15.75">
      <c r="A17" s="12"/>
      <c r="B17" s="226">
        <f aca="true" t="shared" si="1" ref="B17:B26">(C17-D17)/D17</f>
        <v>-0.17180071013963008</v>
      </c>
      <c r="C17" s="166">
        <f>7277.4+21612.675</f>
        <v>28890.074999999997</v>
      </c>
      <c r="D17" s="166">
        <f>1049.955+33833.044</f>
        <v>34882.999</v>
      </c>
      <c r="E17" s="226">
        <f t="shared" si="0"/>
        <v>-0.16</v>
      </c>
      <c r="F17" s="166">
        <f>4+80</f>
        <v>84</v>
      </c>
      <c r="G17" s="166">
        <f>5+95</f>
        <v>100</v>
      </c>
      <c r="H17" s="6" t="s">
        <v>71</v>
      </c>
      <c r="I17" s="3"/>
    </row>
    <row r="18" spans="1:9" ht="15.75">
      <c r="A18" s="12"/>
      <c r="B18" s="226">
        <f t="shared" si="1"/>
        <v>-0.03162127277881807</v>
      </c>
      <c r="C18" s="166">
        <f>17046.742+66121.454</f>
        <v>83168.196</v>
      </c>
      <c r="D18" s="166">
        <f>8484.395+77399.561</f>
        <v>85883.956</v>
      </c>
      <c r="E18" s="226">
        <f t="shared" si="0"/>
        <v>0.010452961672473868</v>
      </c>
      <c r="F18" s="166">
        <f>36+254</f>
        <v>290</v>
      </c>
      <c r="G18" s="166">
        <f>21+266</f>
        <v>287</v>
      </c>
      <c r="H18" s="6" t="s">
        <v>72</v>
      </c>
      <c r="I18" s="3"/>
    </row>
    <row r="19" spans="1:13" ht="15.75">
      <c r="A19" s="12"/>
      <c r="B19" s="226">
        <f t="shared" si="1"/>
        <v>-0.19153557194720927</v>
      </c>
      <c r="C19" s="166">
        <f>4279.299+45638.658</f>
        <v>49917.957</v>
      </c>
      <c r="D19" s="166">
        <f>6665.911+55078.249</f>
        <v>61744.16</v>
      </c>
      <c r="E19" s="226">
        <f t="shared" si="0"/>
        <v>-0.11398963730569948</v>
      </c>
      <c r="F19" s="166">
        <f>20+151</f>
        <v>171</v>
      </c>
      <c r="G19" s="166">
        <f>14+179</f>
        <v>193</v>
      </c>
      <c r="H19" s="6" t="s">
        <v>73</v>
      </c>
      <c r="I19" s="3"/>
      <c r="M19" s="272"/>
    </row>
    <row r="20" spans="1:9" ht="15.75">
      <c r="A20" s="12"/>
      <c r="B20" s="226">
        <f t="shared" si="1"/>
        <v>0.05375235307743849</v>
      </c>
      <c r="C20" s="166">
        <f>5097.805+56727.501</f>
        <v>61825.306</v>
      </c>
      <c r="D20" s="166">
        <f>3303.075+55368.496</f>
        <v>58671.570999999996</v>
      </c>
      <c r="E20" s="226">
        <f t="shared" si="0"/>
        <v>0.09615384615384616</v>
      </c>
      <c r="F20" s="166">
        <f>20+322</f>
        <v>342</v>
      </c>
      <c r="G20" s="166">
        <f>17+295</f>
        <v>312</v>
      </c>
      <c r="H20" s="6" t="s">
        <v>74</v>
      </c>
      <c r="I20" s="3"/>
    </row>
    <row r="21" spans="1:9" ht="15.75">
      <c r="A21" s="12"/>
      <c r="B21" s="226">
        <f t="shared" si="1"/>
        <v>0.14704816613505284</v>
      </c>
      <c r="C21" s="166">
        <f>17096.035+35249.804</f>
        <v>52345.83899999999</v>
      </c>
      <c r="D21" s="166">
        <f>1538.001+44097.257</f>
        <v>45635.257999999994</v>
      </c>
      <c r="E21" s="226">
        <f t="shared" si="0"/>
        <v>0.30973451327433627</v>
      </c>
      <c r="F21" s="166">
        <f>25+123</f>
        <v>148</v>
      </c>
      <c r="G21" s="166">
        <f>5+108</f>
        <v>113</v>
      </c>
      <c r="H21" s="7" t="s">
        <v>75</v>
      </c>
      <c r="I21" s="3"/>
    </row>
    <row r="22" spans="1:9" s="17" customFormat="1" ht="15.75">
      <c r="A22" s="18"/>
      <c r="B22" s="227">
        <f>(C22-D22)/D22</f>
        <v>-0.030378312418343552</v>
      </c>
      <c r="C22" s="134">
        <f>SUM(C15:C21)</f>
        <v>291339.27499999997</v>
      </c>
      <c r="D22" s="134">
        <f>SUM(D15:D21)</f>
        <v>300466.954</v>
      </c>
      <c r="E22" s="227">
        <f t="shared" si="0"/>
        <v>0.029250457038391225</v>
      </c>
      <c r="F22" s="134">
        <f>SUM(F15:F21)</f>
        <v>1126</v>
      </c>
      <c r="G22" s="134">
        <f>SUM(G15:G21)</f>
        <v>1094</v>
      </c>
      <c r="H22" s="81" t="s">
        <v>76</v>
      </c>
      <c r="I22" s="11"/>
    </row>
    <row r="23" spans="1:9" ht="15.75">
      <c r="A23" s="12"/>
      <c r="B23" s="226">
        <f t="shared" si="1"/>
        <v>-0.0020077189785766007</v>
      </c>
      <c r="C23" s="166">
        <f>32764.656+40963.893</f>
        <v>73728.549</v>
      </c>
      <c r="D23" s="166">
        <f>2075.146+71801.727</f>
        <v>73876.87299999999</v>
      </c>
      <c r="E23" s="226">
        <f t="shared" si="0"/>
        <v>0.16095890410958905</v>
      </c>
      <c r="F23" s="166">
        <f>139+200</f>
        <v>339</v>
      </c>
      <c r="G23" s="166">
        <f>17+275</f>
        <v>292</v>
      </c>
      <c r="H23" s="5" t="s">
        <v>77</v>
      </c>
      <c r="I23" s="3"/>
    </row>
    <row r="24" spans="1:9" ht="15.75">
      <c r="A24" s="12"/>
      <c r="B24" s="226">
        <f t="shared" si="1"/>
        <v>-0.08223426915097427</v>
      </c>
      <c r="C24" s="166">
        <f>815.976+36722.89</f>
        <v>37538.866</v>
      </c>
      <c r="D24" s="166">
        <f>323.214+40579.235</f>
        <v>40902.449</v>
      </c>
      <c r="E24" s="226">
        <f t="shared" si="0"/>
        <v>0.13962264150943396</v>
      </c>
      <c r="F24" s="166">
        <f>3+299</f>
        <v>302</v>
      </c>
      <c r="G24" s="166">
        <f>2+263</f>
        <v>265</v>
      </c>
      <c r="H24" s="6" t="s">
        <v>78</v>
      </c>
      <c r="I24" s="3"/>
    </row>
    <row r="25" spans="1:9" ht="15.75">
      <c r="A25" s="12"/>
      <c r="B25" s="226">
        <f>(C25-D25)/D25</f>
        <v>-0.013883978077820238</v>
      </c>
      <c r="C25" s="166">
        <f>2092.026+34973.253</f>
        <v>37065.278999999995</v>
      </c>
      <c r="D25" s="166">
        <f>120.2+37466.938</f>
        <v>37587.138</v>
      </c>
      <c r="E25" s="226">
        <f t="shared" si="0"/>
        <v>0.15625</v>
      </c>
      <c r="F25" s="166">
        <f>6+327</f>
        <v>333</v>
      </c>
      <c r="G25" s="166">
        <f>3+285</f>
        <v>288</v>
      </c>
      <c r="H25" s="6" t="s">
        <v>79</v>
      </c>
      <c r="I25" s="3"/>
    </row>
    <row r="26" spans="1:9" ht="15.75">
      <c r="A26" s="12"/>
      <c r="B26" s="226">
        <f t="shared" si="1"/>
        <v>-0.2445942102090607</v>
      </c>
      <c r="C26" s="166">
        <f>2066.121+38853.144</f>
        <v>40919.265</v>
      </c>
      <c r="D26" s="166">
        <f>243+53925.588</f>
        <v>54168.588</v>
      </c>
      <c r="E26" s="226">
        <f t="shared" si="0"/>
        <v>0.03482587064676617</v>
      </c>
      <c r="F26" s="166">
        <f>8+200</f>
        <v>208</v>
      </c>
      <c r="G26" s="166">
        <f>2+199</f>
        <v>201</v>
      </c>
      <c r="H26" s="7" t="s">
        <v>80</v>
      </c>
      <c r="I26" s="3"/>
    </row>
    <row r="27" spans="1:9" s="17" customFormat="1" ht="15.75">
      <c r="A27" s="18"/>
      <c r="B27" s="227">
        <f>(C27-D27)/D27</f>
        <v>-0.08368114355099662</v>
      </c>
      <c r="C27" s="134">
        <f>SUM(C23:C26)</f>
        <v>189251.95900000003</v>
      </c>
      <c r="D27" s="134">
        <f>SUM(D23:D26)</f>
        <v>206535.048</v>
      </c>
      <c r="E27" s="227">
        <f t="shared" si="0"/>
        <v>0.13001912045889102</v>
      </c>
      <c r="F27" s="134">
        <f>SUM(F23:F26)</f>
        <v>1182</v>
      </c>
      <c r="G27" s="134">
        <f>SUM(G23:G26)</f>
        <v>1046</v>
      </c>
      <c r="H27" s="81" t="s">
        <v>81</v>
      </c>
      <c r="I27" s="11"/>
    </row>
    <row r="28" spans="1:9" ht="15.75">
      <c r="A28" s="12"/>
      <c r="B28" s="226">
        <f>(C28-D28)/D28</f>
        <v>-0.06927663669053744</v>
      </c>
      <c r="C28" s="166">
        <f>29605.694+41081.596</f>
        <v>70687.29</v>
      </c>
      <c r="D28" s="166">
        <f>11966.25+63982.515</f>
        <v>75948.765</v>
      </c>
      <c r="E28" s="226">
        <f t="shared" si="0"/>
        <v>-0.012376237623762377</v>
      </c>
      <c r="F28" s="166">
        <f>144+255</f>
        <v>399</v>
      </c>
      <c r="G28" s="166">
        <f>41+363</f>
        <v>404</v>
      </c>
      <c r="H28" s="5" t="s">
        <v>82</v>
      </c>
      <c r="I28" s="3"/>
    </row>
    <row r="29" spans="1:9" ht="15.75">
      <c r="A29" s="12"/>
      <c r="B29" s="226">
        <f>(C29-D29)/D29</f>
        <v>-0.13126937502330757</v>
      </c>
      <c r="C29" s="166">
        <f>3316.83+57763.827</f>
        <v>61080.657</v>
      </c>
      <c r="D29" s="166">
        <f>3789.994+66520.244</f>
        <v>70310.23800000001</v>
      </c>
      <c r="E29" s="226">
        <f t="shared" si="0"/>
        <v>-0.05221518987341772</v>
      </c>
      <c r="F29" s="166">
        <f>14+585</f>
        <v>599</v>
      </c>
      <c r="G29" s="166">
        <f>13+619</f>
        <v>632</v>
      </c>
      <c r="H29" s="6" t="s">
        <v>83</v>
      </c>
      <c r="I29" s="3"/>
    </row>
    <row r="30" spans="1:9" ht="15.75">
      <c r="A30" s="12"/>
      <c r="B30" s="226">
        <f>(C30-D30)/D30</f>
        <v>-0.11435352469168497</v>
      </c>
      <c r="C30" s="166">
        <f>50369.621+31085.41</f>
        <v>81455.031</v>
      </c>
      <c r="D30" s="166">
        <f>9092.838+82879.561</f>
        <v>91972.399</v>
      </c>
      <c r="E30" s="226">
        <f t="shared" si="0"/>
        <v>-0.1559633027522936</v>
      </c>
      <c r="F30" s="166">
        <f>330+222</f>
        <v>552</v>
      </c>
      <c r="G30" s="166">
        <f>65+589</f>
        <v>654</v>
      </c>
      <c r="H30" s="7" t="s">
        <v>84</v>
      </c>
      <c r="I30" s="3"/>
    </row>
    <row r="31" spans="1:9" s="17" customFormat="1" ht="15.75">
      <c r="A31" s="18"/>
      <c r="B31" s="227">
        <f>(C31-D31)/D31</f>
        <v>-0.10497534661698388</v>
      </c>
      <c r="C31" s="134">
        <f>SUM(C28:C30)</f>
        <v>213222.978</v>
      </c>
      <c r="D31" s="134">
        <f>SUM(D28:D30)</f>
        <v>238231.40200000003</v>
      </c>
      <c r="E31" s="227">
        <f t="shared" si="0"/>
        <v>-0.08284023668639054</v>
      </c>
      <c r="F31" s="134">
        <f>SUM(F28:F30)</f>
        <v>1550</v>
      </c>
      <c r="G31" s="134">
        <f>SUM(G28:G30)</f>
        <v>1690</v>
      </c>
      <c r="H31" s="81" t="s">
        <v>85</v>
      </c>
      <c r="I31" s="11"/>
    </row>
    <row r="32" spans="1:9" ht="15.75">
      <c r="A32" s="12"/>
      <c r="B32" s="226">
        <f aca="true" t="shared" si="2" ref="B32:B43">(C32-D32)/D32</f>
        <v>-0.4331947461619517</v>
      </c>
      <c r="C32" s="166">
        <f>4124.3+18869.974</f>
        <v>22994.273999999998</v>
      </c>
      <c r="D32" s="166">
        <f>2881.671+37686.538</f>
        <v>40568.209</v>
      </c>
      <c r="E32" s="226">
        <f aca="true" t="shared" si="3" ref="E32:E43">(F32-G32)/G32</f>
        <v>-0.37349397590361444</v>
      </c>
      <c r="F32" s="166">
        <f>4+48</f>
        <v>52</v>
      </c>
      <c r="G32" s="166">
        <f>3+80</f>
        <v>83</v>
      </c>
      <c r="H32" s="5" t="s">
        <v>86</v>
      </c>
      <c r="I32" s="3"/>
    </row>
    <row r="33" spans="1:9" ht="15.75">
      <c r="A33" s="12"/>
      <c r="B33" s="226">
        <f t="shared" si="2"/>
        <v>0.19981170588677238</v>
      </c>
      <c r="C33" s="166">
        <f>9378.242+19718.898</f>
        <v>29097.14</v>
      </c>
      <c r="D33" s="166">
        <f>7615.5+16635.922</f>
        <v>24251.422</v>
      </c>
      <c r="E33" s="226">
        <f t="shared" si="3"/>
        <v>0.10576923076923077</v>
      </c>
      <c r="F33" s="166">
        <f>30+85</f>
        <v>115</v>
      </c>
      <c r="G33" s="166">
        <f>15+89</f>
        <v>104</v>
      </c>
      <c r="H33" s="6" t="s">
        <v>87</v>
      </c>
      <c r="I33" s="3"/>
    </row>
    <row r="34" spans="1:9" ht="15.75">
      <c r="A34" s="12"/>
      <c r="B34" s="226">
        <f t="shared" si="2"/>
        <v>0.1401108332250421</v>
      </c>
      <c r="C34" s="166">
        <f>44755.99+37284.957</f>
        <v>82040.947</v>
      </c>
      <c r="D34" s="166">
        <f>6715.747+65243</f>
        <v>71958.747</v>
      </c>
      <c r="E34" s="226">
        <f t="shared" si="3"/>
        <v>0.14166666666666666</v>
      </c>
      <c r="F34" s="166">
        <f>199+75</f>
        <v>274</v>
      </c>
      <c r="G34" s="166">
        <f>25+215</f>
        <v>240</v>
      </c>
      <c r="H34" s="6" t="s">
        <v>88</v>
      </c>
      <c r="I34" s="3"/>
    </row>
    <row r="35" spans="1:9" ht="15.75">
      <c r="A35" s="12"/>
      <c r="B35" s="226">
        <f t="shared" si="2"/>
        <v>0.7199306194055586</v>
      </c>
      <c r="C35" s="166">
        <f>14073.531+223286.76</f>
        <v>237360.291</v>
      </c>
      <c r="D35" s="166">
        <f>13227.059+124778.677</f>
        <v>138005.736</v>
      </c>
      <c r="E35" s="226">
        <f t="shared" si="3"/>
        <v>0.11403508771929824</v>
      </c>
      <c r="F35" s="166">
        <f>54+454</f>
        <v>508</v>
      </c>
      <c r="G35" s="166">
        <f>30+426</f>
        <v>456</v>
      </c>
      <c r="H35" s="7" t="s">
        <v>89</v>
      </c>
      <c r="I35" s="3"/>
    </row>
    <row r="36" spans="1:9" s="17" customFormat="1" ht="15.75">
      <c r="A36" s="18"/>
      <c r="B36" s="227">
        <f>(C36-D36)/D36</f>
        <v>0.35194370079196063</v>
      </c>
      <c r="C36" s="134">
        <f>SUM(C32:C35)</f>
        <v>371492.652</v>
      </c>
      <c r="D36" s="134">
        <f>SUM(D32:D35)</f>
        <v>274784.114</v>
      </c>
      <c r="E36" s="227">
        <f>(F36-G36)/G36</f>
        <v>0.07474518686296716</v>
      </c>
      <c r="F36" s="134">
        <f>SUM(F32:F35)</f>
        <v>949</v>
      </c>
      <c r="G36" s="134">
        <f>SUM(G32:G35)</f>
        <v>883</v>
      </c>
      <c r="H36" s="81" t="s">
        <v>90</v>
      </c>
      <c r="I36" s="11"/>
    </row>
    <row r="37" spans="1:9" ht="15.75">
      <c r="A37" s="12"/>
      <c r="B37" s="226">
        <f t="shared" si="2"/>
        <v>-0.23179688578978253</v>
      </c>
      <c r="C37" s="166">
        <f>4496.073+27720.694</f>
        <v>32216.767</v>
      </c>
      <c r="D37" s="166">
        <f>936.548+41001.276</f>
        <v>41937.824</v>
      </c>
      <c r="E37" s="226">
        <f t="shared" si="3"/>
        <v>-0.28921568627450983</v>
      </c>
      <c r="F37" s="166">
        <f>6+284</f>
        <v>290</v>
      </c>
      <c r="G37" s="166">
        <f>3+405</f>
        <v>408</v>
      </c>
      <c r="H37" s="5" t="s">
        <v>91</v>
      </c>
      <c r="I37" s="3"/>
    </row>
    <row r="38" spans="1:9" ht="15.75">
      <c r="A38" s="12"/>
      <c r="B38" s="226">
        <f t="shared" si="2"/>
        <v>-0.34202669533946706</v>
      </c>
      <c r="C38" s="166">
        <f>0+6856.145</f>
        <v>6856.145</v>
      </c>
      <c r="D38" s="166">
        <f>0.4+10419.696</f>
        <v>10420.096</v>
      </c>
      <c r="E38" s="226">
        <f t="shared" si="3"/>
        <v>-0.24786324786324787</v>
      </c>
      <c r="F38" s="166">
        <f>0+88</f>
        <v>88</v>
      </c>
      <c r="G38" s="166">
        <f>1+116</f>
        <v>117</v>
      </c>
      <c r="H38" s="6" t="s">
        <v>92</v>
      </c>
      <c r="I38" s="3"/>
    </row>
    <row r="39" spans="1:9" ht="15.75">
      <c r="A39" s="12"/>
      <c r="B39" s="226">
        <f>(C39-D39)/D39</f>
        <v>-0.4781584264381825</v>
      </c>
      <c r="C39" s="166">
        <f>0+8719.98</f>
        <v>8719.98</v>
      </c>
      <c r="D39" s="166">
        <f>300+16410.014</f>
        <v>16710.014</v>
      </c>
      <c r="E39" s="226">
        <f t="shared" si="3"/>
        <v>-0.20155038759689922</v>
      </c>
      <c r="F39" s="166">
        <f>0+103</f>
        <v>103</v>
      </c>
      <c r="G39" s="166">
        <f>1+128</f>
        <v>129</v>
      </c>
      <c r="H39" s="7" t="s">
        <v>93</v>
      </c>
      <c r="I39" s="3"/>
    </row>
    <row r="40" spans="1:9" s="17" customFormat="1" ht="15.75">
      <c r="A40" s="18" t="s">
        <v>0</v>
      </c>
      <c r="B40" s="227">
        <f>(C40-D40)/D40</f>
        <v>-0.30803067020942027</v>
      </c>
      <c r="C40" s="134">
        <f>SUM(C37:C39)</f>
        <v>47792.89199999999</v>
      </c>
      <c r="D40" s="134">
        <f>SUM(D37:D39)</f>
        <v>69067.934</v>
      </c>
      <c r="E40" s="227">
        <f>(F40-G40)/G40</f>
        <v>-0.26452599388379205</v>
      </c>
      <c r="F40" s="134">
        <f>SUM(F37:F39)</f>
        <v>481</v>
      </c>
      <c r="G40" s="134">
        <f>SUM(G37:G39)</f>
        <v>654</v>
      </c>
      <c r="H40" s="81" t="s">
        <v>94</v>
      </c>
      <c r="I40" s="11"/>
    </row>
    <row r="41" spans="1:9" ht="15.75">
      <c r="A41" s="12"/>
      <c r="B41" s="226">
        <f t="shared" si="2"/>
        <v>0.016774920112246024</v>
      </c>
      <c r="C41" s="166">
        <f>3354.839+50408.535</f>
        <v>53763.374</v>
      </c>
      <c r="D41" s="166">
        <f>3405.211+49471.166</f>
        <v>52876.377</v>
      </c>
      <c r="E41" s="226">
        <f>(F41-G41)/G41</f>
        <v>-0.15675675675675677</v>
      </c>
      <c r="F41" s="166">
        <f>4+308</f>
        <v>312</v>
      </c>
      <c r="G41" s="166">
        <f>9+361</f>
        <v>370</v>
      </c>
      <c r="H41" s="5" t="s">
        <v>95</v>
      </c>
      <c r="I41" s="3"/>
    </row>
    <row r="42" spans="1:9" ht="15.75">
      <c r="A42" s="12"/>
      <c r="B42" s="226">
        <f t="shared" si="2"/>
        <v>0.3190252510708054</v>
      </c>
      <c r="C42" s="166">
        <f>140+40349.485</f>
        <v>40489.485</v>
      </c>
      <c r="D42" s="166">
        <f>1858.246+28838.274</f>
        <v>30696.52</v>
      </c>
      <c r="E42" s="226">
        <f t="shared" si="3"/>
        <v>-0.2546583850931677</v>
      </c>
      <c r="F42" s="166">
        <f>1+239</f>
        <v>240</v>
      </c>
      <c r="G42" s="166">
        <f>7+315</f>
        <v>322</v>
      </c>
      <c r="H42" s="6" t="s">
        <v>96</v>
      </c>
      <c r="I42" s="3"/>
    </row>
    <row r="43" spans="1:9" ht="15.75">
      <c r="A43" s="12"/>
      <c r="B43" s="226">
        <f t="shared" si="2"/>
        <v>-0.6023259563862849</v>
      </c>
      <c r="C43" s="166">
        <f>507.806+10691.459</f>
        <v>11199.265000000001</v>
      </c>
      <c r="D43" s="166">
        <f>8651.555+19510.366</f>
        <v>28161.921000000002</v>
      </c>
      <c r="E43" s="226">
        <f t="shared" si="3"/>
        <v>-0.3026315789473684</v>
      </c>
      <c r="F43" s="166">
        <f>4+102</f>
        <v>106</v>
      </c>
      <c r="G43" s="166">
        <f>3+149</f>
        <v>152</v>
      </c>
      <c r="H43" s="7" t="s">
        <v>97</v>
      </c>
      <c r="I43" s="3"/>
    </row>
    <row r="44" spans="1:9" s="17" customFormat="1" ht="15.75">
      <c r="A44" s="18"/>
      <c r="B44" s="227">
        <f>(C44-D44)/D44</f>
        <v>-0.056228614432432364</v>
      </c>
      <c r="C44" s="134">
        <f>SUM(C41:C43)</f>
        <v>105452.124</v>
      </c>
      <c r="D44" s="134">
        <f>SUM(D41:D43)</f>
        <v>111734.818</v>
      </c>
      <c r="E44" s="227">
        <f>(F44-G44)/G44</f>
        <v>-0.22037914691943128</v>
      </c>
      <c r="F44" s="134">
        <f>SUM(F41:F43)</f>
        <v>658</v>
      </c>
      <c r="G44" s="134">
        <f>SUM(G41:G43)</f>
        <v>844</v>
      </c>
      <c r="H44" s="82" t="s">
        <v>98</v>
      </c>
      <c r="I44" s="11"/>
    </row>
    <row r="45" spans="1:9" s="15" customFormat="1" ht="20.25" customHeight="1">
      <c r="A45" s="16" t="s">
        <v>0</v>
      </c>
      <c r="B45" s="227">
        <f>(C45-D45)/D45</f>
        <v>0.014766248074743193</v>
      </c>
      <c r="C45" s="134">
        <f>C44+C40+C36+C31+C27+C22</f>
        <v>1218551.8800000001</v>
      </c>
      <c r="D45" s="134">
        <f>D44+D40+D36+D31+D27+D22</f>
        <v>1200820.27</v>
      </c>
      <c r="E45" s="227">
        <f>(F45-G45)/G45</f>
        <v>-0.0426662373208823</v>
      </c>
      <c r="F45" s="134">
        <f>F44+F40+F36+F31+F27+F22</f>
        <v>5946</v>
      </c>
      <c r="G45" s="134">
        <f>G44+G40+G36+G31+G27+G22</f>
        <v>6211</v>
      </c>
      <c r="H45" s="8" t="s">
        <v>20</v>
      </c>
      <c r="I45" s="63"/>
    </row>
    <row r="46" spans="1:9" ht="41.25" customHeight="1">
      <c r="A46" s="3"/>
      <c r="B46" s="3"/>
      <c r="C46" s="3"/>
      <c r="D46" s="3"/>
      <c r="E46" s="3"/>
      <c r="F46" s="3"/>
      <c r="G46" s="3"/>
      <c r="H46" s="3"/>
      <c r="I46" s="3"/>
    </row>
    <row r="47" ht="6.75" customHeight="1">
      <c r="I47" s="3"/>
    </row>
  </sheetData>
  <sheetProtection/>
  <mergeCells count="7">
    <mergeCell ref="G4:H4"/>
    <mergeCell ref="B8:H8"/>
    <mergeCell ref="H13:H14"/>
    <mergeCell ref="B6:H6"/>
    <mergeCell ref="B7:H7"/>
    <mergeCell ref="B12:C12"/>
    <mergeCell ref="B10:H10"/>
  </mergeCells>
  <printOptions horizontalCentered="1" verticalCentered="1"/>
  <pageMargins left="0.1968503937007874" right="0.3937007874015748" top="0.2362204724409449" bottom="0.2362204724409449" header="0.11811023622047245" footer="0.4724409448818898"/>
  <pageSetup fitToHeight="1" fitToWidth="1" horizontalDpi="600" verticalDpi="600" orientation="portrait" paperSize="9" scale="93" r:id="rId2"/>
  <headerFooter alignWithMargins="0">
    <oddFooter>&amp;C- 6 -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view="pageBreakPreview" zoomScale="106" zoomScaleSheetLayoutView="106" zoomScalePageLayoutView="0" workbookViewId="0" topLeftCell="B4">
      <selection activeCell="C11" sqref="C11:D11"/>
    </sheetView>
  </sheetViews>
  <sheetFormatPr defaultColWidth="9.140625" defaultRowHeight="13.5" customHeight="1"/>
  <cols>
    <col min="1" max="1" width="1.421875" style="24" bestFit="1" customWidth="1"/>
    <col min="2" max="2" width="12.7109375" style="24" customWidth="1"/>
    <col min="3" max="3" width="11.8515625" style="24" bestFit="1" customWidth="1"/>
    <col min="4" max="4" width="10.140625" style="24" bestFit="1" customWidth="1"/>
    <col min="5" max="5" width="11.28125" style="24" customWidth="1"/>
    <col min="6" max="7" width="10.7109375" style="24" customWidth="1"/>
    <col min="8" max="9" width="11.28125" style="24" bestFit="1" customWidth="1"/>
    <col min="10" max="10" width="10.57421875" style="24" customWidth="1"/>
    <col min="11" max="11" width="9.421875" style="24" bestFit="1" customWidth="1"/>
    <col min="12" max="12" width="12.140625" style="24" bestFit="1" customWidth="1"/>
    <col min="13" max="13" width="11.28125" style="24" bestFit="1" customWidth="1"/>
    <col min="14" max="14" width="13.421875" style="24" customWidth="1"/>
    <col min="15" max="15" width="3.28125" style="24" customWidth="1"/>
    <col min="16" max="16" width="7.140625" style="24" bestFit="1" customWidth="1"/>
    <col min="17" max="16384" width="9.140625" style="24" customWidth="1"/>
  </cols>
  <sheetData>
    <row r="1" spans="4:16" ht="9.75" customHeight="1">
      <c r="D1" s="26"/>
      <c r="E1" s="26"/>
      <c r="F1" s="26"/>
      <c r="G1" s="26"/>
      <c r="H1" s="26"/>
      <c r="I1" s="26"/>
      <c r="J1" s="26"/>
      <c r="L1" s="27"/>
      <c r="M1" s="27"/>
      <c r="N1" s="27"/>
      <c r="O1" s="34"/>
      <c r="P1" s="26"/>
    </row>
    <row r="2" spans="1:16" ht="16.5" customHeight="1">
      <c r="A2" s="301" t="s">
        <v>55</v>
      </c>
      <c r="B2" s="282"/>
      <c r="C2" s="282"/>
      <c r="D2" s="26"/>
      <c r="E2" s="26"/>
      <c r="F2" s="26"/>
      <c r="G2" s="26"/>
      <c r="H2" s="26"/>
      <c r="I2" s="26"/>
      <c r="J2" s="26"/>
      <c r="K2" s="27"/>
      <c r="L2" s="27"/>
      <c r="M2" s="306" t="s">
        <v>16</v>
      </c>
      <c r="N2" s="306"/>
      <c r="O2" s="34"/>
      <c r="P2" s="26"/>
    </row>
    <row r="3" spans="1:16" ht="13.5" customHeight="1">
      <c r="A3" s="301" t="s">
        <v>21</v>
      </c>
      <c r="B3" s="282"/>
      <c r="C3" s="282"/>
      <c r="D3" s="26"/>
      <c r="E3" s="26"/>
      <c r="F3" s="26"/>
      <c r="G3" s="26"/>
      <c r="H3" s="26"/>
      <c r="I3" s="26"/>
      <c r="J3" s="26"/>
      <c r="L3" s="306" t="s">
        <v>130</v>
      </c>
      <c r="M3" s="306"/>
      <c r="N3" s="306"/>
      <c r="O3" s="84"/>
      <c r="P3" s="26"/>
    </row>
    <row r="4" spans="1:16" ht="8.25" customHeight="1">
      <c r="A4" s="25"/>
      <c r="B4" s="35"/>
      <c r="C4" s="26"/>
      <c r="D4" s="26"/>
      <c r="E4" s="26"/>
      <c r="F4" s="26"/>
      <c r="G4" s="26"/>
      <c r="H4" s="26"/>
      <c r="I4" s="26"/>
      <c r="J4" s="26"/>
      <c r="K4" s="27"/>
      <c r="L4" s="27"/>
      <c r="M4" s="27"/>
      <c r="N4" s="27"/>
      <c r="O4" s="36"/>
      <c r="P4" s="26"/>
    </row>
    <row r="5" spans="1:23" ht="22.5">
      <c r="A5" s="25"/>
      <c r="B5" s="298" t="s">
        <v>112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41"/>
      <c r="P5" s="262"/>
      <c r="Q5" s="41"/>
      <c r="R5" s="41"/>
      <c r="S5" s="41"/>
      <c r="T5" s="41"/>
      <c r="U5" s="41"/>
      <c r="V5" s="41"/>
      <c r="W5" s="41"/>
    </row>
    <row r="6" spans="1:16" ht="22.5">
      <c r="A6" s="25"/>
      <c r="B6" s="279" t="s">
        <v>64</v>
      </c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53"/>
      <c r="P6" s="31"/>
    </row>
    <row r="7" spans="1:16" ht="22.5">
      <c r="A7" s="25"/>
      <c r="B7" s="279" t="s">
        <v>142</v>
      </c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54"/>
      <c r="P7" s="33"/>
    </row>
    <row r="8" spans="1:16" ht="13.5" customHeight="1">
      <c r="A8" s="25"/>
      <c r="B8" s="288" t="s">
        <v>145</v>
      </c>
      <c r="C8" s="288"/>
      <c r="M8" s="293" t="s">
        <v>68</v>
      </c>
      <c r="N8" s="293"/>
      <c r="O8" s="53"/>
      <c r="P8" s="31"/>
    </row>
    <row r="9" spans="1:16" ht="13.5" customHeight="1">
      <c r="A9" s="25"/>
      <c r="B9" s="313" t="s">
        <v>51</v>
      </c>
      <c r="C9" s="314"/>
      <c r="D9" s="302" t="s">
        <v>129</v>
      </c>
      <c r="E9" s="303"/>
      <c r="F9" s="307" t="s">
        <v>128</v>
      </c>
      <c r="G9" s="308"/>
      <c r="H9" s="307" t="s">
        <v>127</v>
      </c>
      <c r="I9" s="308"/>
      <c r="J9" s="302" t="s">
        <v>126</v>
      </c>
      <c r="K9" s="303"/>
      <c r="L9" s="307" t="s">
        <v>125</v>
      </c>
      <c r="M9" s="308"/>
      <c r="N9" s="315" t="s">
        <v>19</v>
      </c>
      <c r="O9" s="34"/>
      <c r="P9" s="27"/>
    </row>
    <row r="10" spans="1:16" ht="11.25" customHeight="1">
      <c r="A10" s="25"/>
      <c r="B10" s="309"/>
      <c r="C10" s="310"/>
      <c r="D10" s="318"/>
      <c r="E10" s="319"/>
      <c r="F10" s="311"/>
      <c r="G10" s="312"/>
      <c r="H10" s="309"/>
      <c r="I10" s="310"/>
      <c r="J10" s="304"/>
      <c r="K10" s="305"/>
      <c r="L10" s="309"/>
      <c r="M10" s="310"/>
      <c r="N10" s="316"/>
      <c r="O10" s="34"/>
      <c r="P10" s="27"/>
    </row>
    <row r="11" spans="1:16" ht="11.25" customHeight="1">
      <c r="A11" s="25"/>
      <c r="B11" s="98">
        <v>2022</v>
      </c>
      <c r="C11" s="8">
        <v>2021</v>
      </c>
      <c r="D11" s="98">
        <v>2022</v>
      </c>
      <c r="E11" s="8">
        <v>2021</v>
      </c>
      <c r="F11" s="98">
        <v>2022</v>
      </c>
      <c r="G11" s="8">
        <v>2021</v>
      </c>
      <c r="H11" s="98">
        <v>2022</v>
      </c>
      <c r="I11" s="8">
        <v>2021</v>
      </c>
      <c r="J11" s="98">
        <v>2022</v>
      </c>
      <c r="K11" s="8">
        <v>2021</v>
      </c>
      <c r="L11" s="98">
        <v>2022</v>
      </c>
      <c r="M11" s="8">
        <v>2021</v>
      </c>
      <c r="N11" s="317"/>
      <c r="O11" s="55"/>
      <c r="P11" s="46"/>
    </row>
    <row r="12" spans="1:16" ht="12" customHeight="1">
      <c r="A12" s="25"/>
      <c r="B12" s="141">
        <f>'P6'!C15</f>
        <v>8223.473</v>
      </c>
      <c r="C12" s="141">
        <f>'P6'!D15</f>
        <v>5867.564</v>
      </c>
      <c r="D12" s="141">
        <v>0</v>
      </c>
      <c r="E12" s="141">
        <v>0</v>
      </c>
      <c r="F12" s="141">
        <f>178.766+3643.47</f>
        <v>3822.236</v>
      </c>
      <c r="G12" s="141">
        <v>2942.041</v>
      </c>
      <c r="H12" s="141">
        <v>0</v>
      </c>
      <c r="I12" s="141">
        <v>0</v>
      </c>
      <c r="J12" s="141">
        <f>991+1170.237</f>
        <v>2161.237</v>
      </c>
      <c r="K12" s="141">
        <v>2317.523</v>
      </c>
      <c r="L12" s="141">
        <f>B12-D12-F12-H12-J12</f>
        <v>2240</v>
      </c>
      <c r="M12" s="141">
        <f>C12-K12-I12-G12-E12</f>
        <v>608</v>
      </c>
      <c r="N12" s="89" t="s">
        <v>69</v>
      </c>
      <c r="O12" s="56"/>
      <c r="P12" s="57"/>
    </row>
    <row r="13" spans="1:16" ht="12" customHeight="1">
      <c r="A13" s="25" t="s">
        <v>0</v>
      </c>
      <c r="B13" s="141">
        <f>'P6'!C16</f>
        <v>6968.429</v>
      </c>
      <c r="C13" s="141">
        <f>'P6'!D16</f>
        <v>7781.446</v>
      </c>
      <c r="D13" s="141">
        <v>545</v>
      </c>
      <c r="E13" s="141">
        <v>850</v>
      </c>
      <c r="F13" s="141">
        <f>460.51+1299.916</f>
        <v>1760.426</v>
      </c>
      <c r="G13" s="141">
        <v>990.781</v>
      </c>
      <c r="H13" s="141">
        <v>0</v>
      </c>
      <c r="I13" s="141">
        <v>0</v>
      </c>
      <c r="J13" s="141">
        <v>196.1</v>
      </c>
      <c r="K13" s="141">
        <v>196.929</v>
      </c>
      <c r="L13" s="141">
        <f aca="true" t="shared" si="0" ref="L13:L18">B13-D13-F13-H13-J13</f>
        <v>4466.903</v>
      </c>
      <c r="M13" s="141">
        <f aca="true" t="shared" si="1" ref="M13:M18">C13-K13-I13-G13-E13</f>
        <v>5743.736</v>
      </c>
      <c r="N13" s="89" t="s">
        <v>70</v>
      </c>
      <c r="O13" s="56"/>
      <c r="P13" s="57"/>
    </row>
    <row r="14" spans="1:16" ht="12" customHeight="1">
      <c r="A14" s="25"/>
      <c r="B14" s="141">
        <f>'P6'!C17</f>
        <v>28890.074999999997</v>
      </c>
      <c r="C14" s="141">
        <f>'P6'!D17</f>
        <v>34882.999</v>
      </c>
      <c r="D14" s="141">
        <v>5253.694</v>
      </c>
      <c r="E14" s="141">
        <f>600+7975.395</f>
        <v>8575.395</v>
      </c>
      <c r="F14" s="141">
        <f>1638.4+1131.213</f>
        <v>2769.6130000000003</v>
      </c>
      <c r="G14" s="141">
        <f>33.25+844.95</f>
        <v>878.2</v>
      </c>
      <c r="H14" s="141">
        <v>0</v>
      </c>
      <c r="I14" s="141">
        <f>0</f>
        <v>0</v>
      </c>
      <c r="J14" s="141">
        <v>0</v>
      </c>
      <c r="K14" s="141">
        <f>0</f>
        <v>0</v>
      </c>
      <c r="L14" s="141">
        <f t="shared" si="0"/>
        <v>20866.767999999996</v>
      </c>
      <c r="M14" s="141">
        <f t="shared" si="1"/>
        <v>25429.404000000006</v>
      </c>
      <c r="N14" s="89" t="s">
        <v>71</v>
      </c>
      <c r="O14" s="56"/>
      <c r="P14" s="57"/>
    </row>
    <row r="15" spans="1:16" ht="12" customHeight="1">
      <c r="A15" s="25"/>
      <c r="B15" s="141">
        <f>'P6'!C18</f>
        <v>83168.196</v>
      </c>
      <c r="C15" s="141">
        <f>'P6'!D18</f>
        <v>85883.956</v>
      </c>
      <c r="D15" s="141">
        <f>3888.85+5072.055</f>
        <v>8960.905</v>
      </c>
      <c r="E15" s="141">
        <f>6116.35+16089.322</f>
        <v>22205.672</v>
      </c>
      <c r="F15" s="141">
        <f>330+5058.146</f>
        <v>5388.146</v>
      </c>
      <c r="G15" s="141">
        <f>51.36+5775.082</f>
        <v>5826.442</v>
      </c>
      <c r="H15" s="141">
        <v>67.98</v>
      </c>
      <c r="I15" s="141">
        <v>133.427</v>
      </c>
      <c r="J15" s="141">
        <f>15.137+2241.041</f>
        <v>2256.1780000000003</v>
      </c>
      <c r="K15" s="141">
        <v>6458.19</v>
      </c>
      <c r="L15" s="141">
        <f t="shared" si="0"/>
        <v>66494.98700000001</v>
      </c>
      <c r="M15" s="141">
        <f t="shared" si="1"/>
        <v>51260.22500000001</v>
      </c>
      <c r="N15" s="89" t="s">
        <v>72</v>
      </c>
      <c r="O15" s="56"/>
      <c r="P15" s="57"/>
    </row>
    <row r="16" spans="1:16" ht="12" customHeight="1">
      <c r="A16" s="25"/>
      <c r="B16" s="141">
        <f>'P6'!C19</f>
        <v>49917.957</v>
      </c>
      <c r="C16" s="141">
        <f>'P6'!D19</f>
        <v>61744.16</v>
      </c>
      <c r="D16" s="141">
        <f>30+135.66</f>
        <v>165.66</v>
      </c>
      <c r="E16" s="141">
        <f>2910+5334.703</f>
        <v>8244.703000000001</v>
      </c>
      <c r="F16" s="141">
        <f>136+110.206</f>
        <v>246.20600000000002</v>
      </c>
      <c r="G16" s="141">
        <f>1.526+2587.758</f>
        <v>2589.2839999999997</v>
      </c>
      <c r="H16" s="141">
        <v>0</v>
      </c>
      <c r="I16" s="141">
        <v>0</v>
      </c>
      <c r="J16" s="141">
        <v>0</v>
      </c>
      <c r="K16" s="141">
        <v>0</v>
      </c>
      <c r="L16" s="141">
        <f t="shared" si="0"/>
        <v>49506.091</v>
      </c>
      <c r="M16" s="141">
        <f t="shared" si="1"/>
        <v>50910.173</v>
      </c>
      <c r="N16" s="89" t="s">
        <v>73</v>
      </c>
      <c r="O16" s="56"/>
      <c r="P16" s="57"/>
    </row>
    <row r="17" spans="1:16" ht="12" customHeight="1">
      <c r="A17" s="25"/>
      <c r="B17" s="141">
        <f>'P6'!C20</f>
        <v>61825.306</v>
      </c>
      <c r="C17" s="141">
        <f>'P6'!D20</f>
        <v>58671.570999999996</v>
      </c>
      <c r="D17" s="141">
        <v>264.6</v>
      </c>
      <c r="E17" s="141">
        <v>409.88</v>
      </c>
      <c r="F17" s="141">
        <f>2121.908+6917.708</f>
        <v>9039.616</v>
      </c>
      <c r="G17" s="141">
        <f>3.723+4114.115</f>
        <v>4117.838</v>
      </c>
      <c r="H17" s="141">
        <v>4309.793</v>
      </c>
      <c r="I17" s="141">
        <v>2042.483</v>
      </c>
      <c r="J17" s="141">
        <f>68.75+5791.554</f>
        <v>5860.304</v>
      </c>
      <c r="K17" s="141">
        <v>6639.334</v>
      </c>
      <c r="L17" s="141">
        <f t="shared" si="0"/>
        <v>42350.993</v>
      </c>
      <c r="M17" s="141">
        <f t="shared" si="1"/>
        <v>45462.036</v>
      </c>
      <c r="N17" s="89" t="s">
        <v>74</v>
      </c>
      <c r="O17" s="56"/>
      <c r="P17" s="57"/>
    </row>
    <row r="18" spans="1:16" ht="12" customHeight="1">
      <c r="A18" s="25"/>
      <c r="B18" s="141">
        <f>'P6'!C21</f>
        <v>52345.83899999999</v>
      </c>
      <c r="C18" s="141">
        <f>'P6'!D21</f>
        <v>45635.257999999994</v>
      </c>
      <c r="D18" s="141">
        <f>435+2500</f>
        <v>2935</v>
      </c>
      <c r="E18" s="141">
        <v>1226</v>
      </c>
      <c r="F18" s="141">
        <f>612.883+1349.456</f>
        <v>1962.339</v>
      </c>
      <c r="G18" s="141">
        <v>1899.781</v>
      </c>
      <c r="H18" s="141">
        <v>0</v>
      </c>
      <c r="I18" s="141">
        <v>0</v>
      </c>
      <c r="J18" s="141">
        <v>0</v>
      </c>
      <c r="K18" s="141">
        <v>0</v>
      </c>
      <c r="L18" s="141">
        <f t="shared" si="0"/>
        <v>47448.49999999999</v>
      </c>
      <c r="M18" s="141">
        <f t="shared" si="1"/>
        <v>42509.47699999999</v>
      </c>
      <c r="N18" s="89" t="s">
        <v>75</v>
      </c>
      <c r="O18" s="56"/>
      <c r="P18" s="57"/>
    </row>
    <row r="19" spans="1:16" s="49" customFormat="1" ht="12" customHeight="1">
      <c r="A19" s="47"/>
      <c r="B19" s="142">
        <f aca="true" t="shared" si="2" ref="B19:M19">SUM(B12:B18)</f>
        <v>291339.27499999997</v>
      </c>
      <c r="C19" s="142">
        <f t="shared" si="2"/>
        <v>300466.954</v>
      </c>
      <c r="D19" s="142">
        <f t="shared" si="2"/>
        <v>18124.859000000004</v>
      </c>
      <c r="E19" s="142">
        <f>SUM(E12:E18)</f>
        <v>41511.65</v>
      </c>
      <c r="F19" s="142">
        <f t="shared" si="2"/>
        <v>24988.582000000002</v>
      </c>
      <c r="G19" s="142">
        <f>SUM(G12:G18)</f>
        <v>19244.367</v>
      </c>
      <c r="H19" s="142">
        <f t="shared" si="2"/>
        <v>4377.772999999999</v>
      </c>
      <c r="I19" s="142">
        <f>SUM(I12:I18)</f>
        <v>2175.91</v>
      </c>
      <c r="J19" s="142">
        <f t="shared" si="2"/>
        <v>10473.819</v>
      </c>
      <c r="K19" s="142">
        <f>SUM(K12:K18)</f>
        <v>15611.975999999999</v>
      </c>
      <c r="L19" s="142">
        <f t="shared" si="2"/>
        <v>233374.24200000003</v>
      </c>
      <c r="M19" s="142">
        <f t="shared" si="2"/>
        <v>221923.051</v>
      </c>
      <c r="N19" s="48" t="s">
        <v>76</v>
      </c>
      <c r="O19" s="58"/>
      <c r="P19" s="57"/>
    </row>
    <row r="20" spans="1:16" ht="12" customHeight="1">
      <c r="A20" s="25"/>
      <c r="B20" s="141">
        <f>'P6'!C23</f>
        <v>73728.549</v>
      </c>
      <c r="C20" s="141">
        <f>'P6'!D23</f>
        <v>73876.87299999999</v>
      </c>
      <c r="D20" s="141">
        <f>1351.3+3357.556</f>
        <v>4708.856</v>
      </c>
      <c r="E20" s="141">
        <f>0+3384.21</f>
        <v>3384.21</v>
      </c>
      <c r="F20" s="141">
        <f>2560.817+8747.234</f>
        <v>11308.051</v>
      </c>
      <c r="G20" s="141">
        <f>14.96+24110.182</f>
        <v>24125.142</v>
      </c>
      <c r="H20" s="141">
        <v>0</v>
      </c>
      <c r="I20" s="141">
        <f>0</f>
        <v>0</v>
      </c>
      <c r="J20" s="141">
        <v>0</v>
      </c>
      <c r="K20" s="141">
        <f>0</f>
        <v>0</v>
      </c>
      <c r="L20" s="141">
        <f>B20-D20-F20-H20-J20</f>
        <v>57711.642</v>
      </c>
      <c r="M20" s="141">
        <f>C20-K20-I20-G20-E20</f>
        <v>46367.52099999999</v>
      </c>
      <c r="N20" s="89" t="s">
        <v>77</v>
      </c>
      <c r="O20" s="56"/>
      <c r="P20" s="57"/>
    </row>
    <row r="21" spans="1:16" ht="12" customHeight="1">
      <c r="A21" s="25"/>
      <c r="B21" s="141">
        <f>'P6'!C24</f>
        <v>37538.866</v>
      </c>
      <c r="C21" s="141">
        <f>'P6'!D24</f>
        <v>40902.449</v>
      </c>
      <c r="D21" s="141">
        <f>0.113+84.133</f>
        <v>84.246</v>
      </c>
      <c r="E21" s="141">
        <v>1040.983</v>
      </c>
      <c r="F21" s="141">
        <v>13515.032</v>
      </c>
      <c r="G21" s="141">
        <v>8397.989</v>
      </c>
      <c r="H21" s="141">
        <v>0</v>
      </c>
      <c r="I21" s="141">
        <v>0</v>
      </c>
      <c r="J21" s="141">
        <v>1166.602</v>
      </c>
      <c r="K21" s="141">
        <v>1230.151</v>
      </c>
      <c r="L21" s="141">
        <f>B21-D21-F21-H21-J21</f>
        <v>22772.986000000004</v>
      </c>
      <c r="M21" s="141">
        <f>C21-K21-I21-G21-E21</f>
        <v>30233.326</v>
      </c>
      <c r="N21" s="89" t="s">
        <v>78</v>
      </c>
      <c r="O21" s="56"/>
      <c r="P21" s="57"/>
    </row>
    <row r="22" spans="1:16" ht="12" customHeight="1">
      <c r="A22" s="25"/>
      <c r="B22" s="141">
        <f>'P6'!C25</f>
        <v>37065.278999999995</v>
      </c>
      <c r="C22" s="141">
        <f>'P6'!D25</f>
        <v>37587.138</v>
      </c>
      <c r="D22" s="141">
        <v>1068</v>
      </c>
      <c r="E22" s="141">
        <v>0</v>
      </c>
      <c r="F22" s="141">
        <f>144.026+4432.363</f>
        <v>4576.389</v>
      </c>
      <c r="G22" s="141">
        <f>65+6250.293</f>
        <v>6315.293</v>
      </c>
      <c r="H22" s="141">
        <v>0</v>
      </c>
      <c r="I22" s="141">
        <v>0</v>
      </c>
      <c r="J22" s="141">
        <v>0</v>
      </c>
      <c r="K22" s="141">
        <v>0</v>
      </c>
      <c r="L22" s="141">
        <f>B22-D22-F22-H22-J22</f>
        <v>31420.889999999996</v>
      </c>
      <c r="M22" s="141">
        <f>C22-K22-I22-G22-E22</f>
        <v>31271.845</v>
      </c>
      <c r="N22" s="89" t="s">
        <v>79</v>
      </c>
      <c r="O22" s="56"/>
      <c r="P22" s="57"/>
    </row>
    <row r="23" spans="1:16" ht="12" customHeight="1">
      <c r="A23" s="25"/>
      <c r="B23" s="141">
        <f>'P6'!C26</f>
        <v>40919.265</v>
      </c>
      <c r="C23" s="141">
        <f>'P6'!D26</f>
        <v>54168.588</v>
      </c>
      <c r="D23" s="141">
        <v>1477.763</v>
      </c>
      <c r="E23" s="141">
        <v>3672</v>
      </c>
      <c r="F23" s="141">
        <f>546.121+4468.682</f>
        <v>5014.803</v>
      </c>
      <c r="G23" s="141">
        <f>170+18180.538</f>
        <v>18350.538</v>
      </c>
      <c r="H23" s="141">
        <v>0</v>
      </c>
      <c r="I23" s="141">
        <v>0</v>
      </c>
      <c r="J23" s="141">
        <v>0</v>
      </c>
      <c r="K23" s="141">
        <v>0</v>
      </c>
      <c r="L23" s="141">
        <f>B23-D23-F23-H23-J23</f>
        <v>34426.699</v>
      </c>
      <c r="M23" s="141">
        <f>C23-K23-I23-G23-E23</f>
        <v>32146.050000000003</v>
      </c>
      <c r="N23" s="89" t="s">
        <v>80</v>
      </c>
      <c r="O23" s="56"/>
      <c r="P23" s="57"/>
    </row>
    <row r="24" spans="1:16" s="49" customFormat="1" ht="12" customHeight="1">
      <c r="A24" s="47"/>
      <c r="B24" s="142">
        <f aca="true" t="shared" si="3" ref="B24:M24">SUM(B20:B23)</f>
        <v>189251.95900000003</v>
      </c>
      <c r="C24" s="142">
        <f t="shared" si="3"/>
        <v>206535.048</v>
      </c>
      <c r="D24" s="142">
        <f>SUM(D20:D23)</f>
        <v>7338.865</v>
      </c>
      <c r="E24" s="142">
        <f>SUM(E20:E23)</f>
        <v>8097.193</v>
      </c>
      <c r="F24" s="142">
        <f t="shared" si="3"/>
        <v>34414.274999999994</v>
      </c>
      <c r="G24" s="142">
        <f>SUM(G20:G23)</f>
        <v>57188.962</v>
      </c>
      <c r="H24" s="142">
        <f t="shared" si="3"/>
        <v>0</v>
      </c>
      <c r="I24" s="142">
        <f>SUM(I20:I23)</f>
        <v>0</v>
      </c>
      <c r="J24" s="142">
        <f t="shared" si="3"/>
        <v>1166.602</v>
      </c>
      <c r="K24" s="142">
        <f>SUM(K20:K23)</f>
        <v>1230.151</v>
      </c>
      <c r="L24" s="142">
        <f t="shared" si="3"/>
        <v>146332.217</v>
      </c>
      <c r="M24" s="142">
        <f t="shared" si="3"/>
        <v>140018.742</v>
      </c>
      <c r="N24" s="48" t="s">
        <v>81</v>
      </c>
      <c r="O24" s="58"/>
      <c r="P24" s="57"/>
    </row>
    <row r="25" spans="1:16" ht="12" customHeight="1">
      <c r="A25" s="25"/>
      <c r="B25" s="141">
        <f>'P6'!C28</f>
        <v>70687.29</v>
      </c>
      <c r="C25" s="141">
        <f>'P6'!D28</f>
        <v>75948.765</v>
      </c>
      <c r="D25" s="141">
        <f>3265</f>
        <v>3265</v>
      </c>
      <c r="E25" s="141">
        <f>8117.5+17215.703</f>
        <v>25333.203</v>
      </c>
      <c r="F25" s="141">
        <f>3642.631+5804.781</f>
        <v>9447.412</v>
      </c>
      <c r="G25" s="141">
        <f>169.658+8980.377</f>
        <v>9150.035</v>
      </c>
      <c r="H25" s="141">
        <v>0</v>
      </c>
      <c r="I25" s="141">
        <v>0</v>
      </c>
      <c r="J25" s="141">
        <v>0</v>
      </c>
      <c r="K25" s="141">
        <v>0</v>
      </c>
      <c r="L25" s="141">
        <f>B25-D25-F25-H25-J25</f>
        <v>57974.878</v>
      </c>
      <c r="M25" s="141">
        <f>C25-K25-I25-G25-E25</f>
        <v>41465.526999999995</v>
      </c>
      <c r="N25" s="89" t="s">
        <v>82</v>
      </c>
      <c r="O25" s="56"/>
      <c r="P25" s="57"/>
    </row>
    <row r="26" spans="1:16" ht="12" customHeight="1">
      <c r="A26" s="25"/>
      <c r="B26" s="141">
        <f>'P6'!C29</f>
        <v>61080.657</v>
      </c>
      <c r="C26" s="141">
        <f>'P6'!D29</f>
        <v>70310.23800000001</v>
      </c>
      <c r="D26" s="141">
        <v>2126.998</v>
      </c>
      <c r="E26" s="141">
        <v>4582.176</v>
      </c>
      <c r="F26" s="141">
        <v>1039.313</v>
      </c>
      <c r="G26" s="141">
        <f>5+1869.649</f>
        <v>1874.649</v>
      </c>
      <c r="H26" s="141">
        <v>0</v>
      </c>
      <c r="I26" s="141">
        <v>0</v>
      </c>
      <c r="J26" s="141">
        <v>0</v>
      </c>
      <c r="K26" s="141">
        <v>0</v>
      </c>
      <c r="L26" s="141">
        <f>B26-D26-F26-H26-J26</f>
        <v>57914.346</v>
      </c>
      <c r="M26" s="141">
        <f>C26-K26-I26-G26-E26</f>
        <v>63853.41300000001</v>
      </c>
      <c r="N26" s="89" t="s">
        <v>83</v>
      </c>
      <c r="O26" s="56"/>
      <c r="P26" s="57"/>
    </row>
    <row r="27" spans="1:16" ht="12" customHeight="1">
      <c r="A27" s="25"/>
      <c r="B27" s="141">
        <f>'P6'!C30</f>
        <v>81455.031</v>
      </c>
      <c r="C27" s="141">
        <f>'P6'!D30</f>
        <v>91972.399</v>
      </c>
      <c r="D27" s="141">
        <f>3526.107+331.2</f>
        <v>3857.307</v>
      </c>
      <c r="E27" s="141">
        <f>750+503.669</f>
        <v>1253.6689999999999</v>
      </c>
      <c r="F27" s="141">
        <f>6790.655+5428.414</f>
        <v>12219.069</v>
      </c>
      <c r="G27" s="141">
        <f>95.12+5177.861</f>
        <v>5272.981</v>
      </c>
      <c r="H27" s="141">
        <v>0</v>
      </c>
      <c r="I27" s="141">
        <v>139.589</v>
      </c>
      <c r="J27" s="141">
        <v>0</v>
      </c>
      <c r="K27" s="141">
        <v>0</v>
      </c>
      <c r="L27" s="141">
        <f>B27-D27-F27-H27-J27</f>
        <v>65378.655</v>
      </c>
      <c r="M27" s="141">
        <f>C27-K27-I27-G27-E27</f>
        <v>85306.16</v>
      </c>
      <c r="N27" s="89" t="s">
        <v>84</v>
      </c>
      <c r="O27" s="56"/>
      <c r="P27" s="57"/>
    </row>
    <row r="28" spans="1:16" s="49" customFormat="1" ht="12" customHeight="1">
      <c r="A28" s="47"/>
      <c r="B28" s="142">
        <f aca="true" t="shared" si="4" ref="B28:M28">SUM(B25:B27)</f>
        <v>213222.978</v>
      </c>
      <c r="C28" s="142">
        <f t="shared" si="4"/>
        <v>238231.40200000003</v>
      </c>
      <c r="D28" s="142">
        <f t="shared" si="4"/>
        <v>9249.305</v>
      </c>
      <c r="E28" s="142">
        <f>SUM(E25:E27)</f>
        <v>31169.048000000003</v>
      </c>
      <c r="F28" s="142">
        <f t="shared" si="4"/>
        <v>22705.794</v>
      </c>
      <c r="G28" s="142">
        <f>SUM(G25:G27)</f>
        <v>16297.664999999999</v>
      </c>
      <c r="H28" s="142">
        <f t="shared" si="4"/>
        <v>0</v>
      </c>
      <c r="I28" s="142">
        <f>SUM(I25:I27)</f>
        <v>139.589</v>
      </c>
      <c r="J28" s="142">
        <f t="shared" si="4"/>
        <v>0</v>
      </c>
      <c r="K28" s="142">
        <f>SUM(K25:K27)</f>
        <v>0</v>
      </c>
      <c r="L28" s="142">
        <f t="shared" si="4"/>
        <v>181267.879</v>
      </c>
      <c r="M28" s="142">
        <f t="shared" si="4"/>
        <v>190625.1</v>
      </c>
      <c r="N28" s="48" t="s">
        <v>85</v>
      </c>
      <c r="O28" s="58"/>
      <c r="P28" s="57"/>
    </row>
    <row r="29" spans="1:16" ht="12" customHeight="1">
      <c r="A29" s="25"/>
      <c r="B29" s="141">
        <f>'P6'!C32</f>
        <v>22994.273999999998</v>
      </c>
      <c r="C29" s="141">
        <f>'P6'!D32</f>
        <v>40568.209</v>
      </c>
      <c r="D29" s="141">
        <v>5868.365</v>
      </c>
      <c r="E29" s="141">
        <f>2800+9542.987</f>
        <v>12342.987</v>
      </c>
      <c r="F29" s="141">
        <v>1348.004</v>
      </c>
      <c r="G29" s="141">
        <f>81.671+2960.368</f>
        <v>3042.0389999999998</v>
      </c>
      <c r="H29" s="141">
        <v>6634.495</v>
      </c>
      <c r="I29" s="141">
        <v>12231.317</v>
      </c>
      <c r="J29" s="141">
        <f>120+130.612</f>
        <v>250.612</v>
      </c>
      <c r="K29" s="141">
        <v>317</v>
      </c>
      <c r="L29" s="141">
        <f>B29-D29-F29-H29-J29</f>
        <v>8892.798</v>
      </c>
      <c r="M29" s="141">
        <f>C29-K29-I29-G29-E29</f>
        <v>12634.866000000004</v>
      </c>
      <c r="N29" s="89" t="s">
        <v>86</v>
      </c>
      <c r="O29" s="56"/>
      <c r="P29" s="57"/>
    </row>
    <row r="30" spans="1:16" ht="12" customHeight="1">
      <c r="A30" s="25"/>
      <c r="B30" s="141">
        <f>'P6'!C33</f>
        <v>29097.14</v>
      </c>
      <c r="C30" s="141">
        <f>'P6'!D33</f>
        <v>24251.422</v>
      </c>
      <c r="D30" s="141">
        <f>917</f>
        <v>917</v>
      </c>
      <c r="E30" s="141">
        <f>3556+253</f>
        <v>3809</v>
      </c>
      <c r="F30" s="141">
        <f>3158.534+2350</f>
        <v>5508.534</v>
      </c>
      <c r="G30" s="141">
        <f>280+3615.8</f>
        <v>3895.8</v>
      </c>
      <c r="H30" s="141">
        <f>3900+10481.098</f>
        <v>14381.098</v>
      </c>
      <c r="I30" s="141">
        <f>592+6156.322</f>
        <v>6748.322</v>
      </c>
      <c r="J30" s="141">
        <f>747.353+2246.8</f>
        <v>2994.1530000000002</v>
      </c>
      <c r="K30" s="141">
        <f>2650+3855</f>
        <v>6505</v>
      </c>
      <c r="L30" s="141">
        <f>B30-D30-F30-H30-J30</f>
        <v>5296.355</v>
      </c>
      <c r="M30" s="141">
        <f>C30-K30-I30-G30-E30</f>
        <v>3293.2999999999984</v>
      </c>
      <c r="N30" s="89" t="s">
        <v>87</v>
      </c>
      <c r="O30" s="56"/>
      <c r="P30" s="57"/>
    </row>
    <row r="31" spans="1:16" ht="12" customHeight="1">
      <c r="A31" s="25"/>
      <c r="B31" s="141">
        <f>'P6'!C34</f>
        <v>82040.947</v>
      </c>
      <c r="C31" s="141">
        <f>'P6'!D34</f>
        <v>71958.747</v>
      </c>
      <c r="D31" s="141">
        <f>16317+4495</f>
        <v>20812</v>
      </c>
      <c r="E31" s="141">
        <f>4317.247+27954</f>
        <v>32271.247</v>
      </c>
      <c r="F31" s="141">
        <f>4181.916+764.5</f>
        <v>4946.416</v>
      </c>
      <c r="G31" s="141">
        <f>1314.5+6562.9</f>
        <v>7877.4</v>
      </c>
      <c r="H31" s="141">
        <f>311+3602</f>
        <v>3913</v>
      </c>
      <c r="I31" s="141">
        <f>6+3077.3</f>
        <v>3083.3</v>
      </c>
      <c r="J31" s="141">
        <f>15568.861+7173</f>
        <v>22741.861</v>
      </c>
      <c r="K31" s="141">
        <f>196+13108.8</f>
        <v>13304.8</v>
      </c>
      <c r="L31" s="141">
        <f>B31-D31-F31-H31-J31</f>
        <v>29627.670000000002</v>
      </c>
      <c r="M31" s="141">
        <f>C31-K31-I31-G31-E31</f>
        <v>15421.999999999996</v>
      </c>
      <c r="N31" s="89" t="s">
        <v>88</v>
      </c>
      <c r="O31" s="56"/>
      <c r="P31" s="57"/>
    </row>
    <row r="32" spans="1:16" ht="12" customHeight="1">
      <c r="A32" s="25"/>
      <c r="B32" s="141">
        <f>'P6'!C35</f>
        <v>237360.291</v>
      </c>
      <c r="C32" s="141">
        <f>'P6'!D35</f>
        <v>138005.736</v>
      </c>
      <c r="D32" s="141">
        <f>2519.929+2055.45</f>
        <v>4575.379</v>
      </c>
      <c r="E32" s="141">
        <f>2351+26633</f>
        <v>28984</v>
      </c>
      <c r="F32" s="141">
        <f>1225.361+27897.542</f>
        <v>29122.903000000002</v>
      </c>
      <c r="G32" s="141">
        <f>6142.028+6737.064</f>
        <v>12879.092</v>
      </c>
      <c r="H32" s="141">
        <v>0</v>
      </c>
      <c r="I32" s="141">
        <f>110.158+300</f>
        <v>410.158</v>
      </c>
      <c r="J32" s="141">
        <f>1847.55+45442.035</f>
        <v>47289.58500000001</v>
      </c>
      <c r="K32" s="141">
        <v>21749.881</v>
      </c>
      <c r="L32" s="141">
        <f>B32-D32-F32-H32-J32</f>
        <v>156372.424</v>
      </c>
      <c r="M32" s="141">
        <f>C32-K32-I32-G32-E32</f>
        <v>73982.60500000001</v>
      </c>
      <c r="N32" s="89" t="s">
        <v>89</v>
      </c>
      <c r="O32" s="56"/>
      <c r="P32" s="57"/>
    </row>
    <row r="33" spans="1:16" s="49" customFormat="1" ht="12" customHeight="1">
      <c r="A33" s="47"/>
      <c r="B33" s="142">
        <f aca="true" t="shared" si="5" ref="B33:M33">SUM(B29:B32)</f>
        <v>371492.652</v>
      </c>
      <c r="C33" s="142">
        <f t="shared" si="5"/>
        <v>274784.114</v>
      </c>
      <c r="D33" s="142">
        <f t="shared" si="5"/>
        <v>32172.744</v>
      </c>
      <c r="E33" s="142">
        <f>SUM(E29:E32)</f>
        <v>77407.234</v>
      </c>
      <c r="F33" s="142">
        <f>SUM(F29:F32)</f>
        <v>40925.857</v>
      </c>
      <c r="G33" s="142">
        <f>SUM(G29:G32)</f>
        <v>27694.331</v>
      </c>
      <c r="H33" s="142">
        <f t="shared" si="5"/>
        <v>24928.593</v>
      </c>
      <c r="I33" s="142">
        <f>SUM(I29:I32)</f>
        <v>22473.096999999998</v>
      </c>
      <c r="J33" s="142">
        <f t="shared" si="5"/>
        <v>73276.21100000001</v>
      </c>
      <c r="K33" s="142">
        <f>SUM(K29:K32)</f>
        <v>41876.681</v>
      </c>
      <c r="L33" s="142">
        <f t="shared" si="5"/>
        <v>200189.247</v>
      </c>
      <c r="M33" s="142">
        <f t="shared" si="5"/>
        <v>105332.77100000001</v>
      </c>
      <c r="N33" s="48" t="s">
        <v>90</v>
      </c>
      <c r="O33" s="58"/>
      <c r="P33" s="57"/>
    </row>
    <row r="34" spans="1:16" ht="12" customHeight="1">
      <c r="A34" s="25"/>
      <c r="B34" s="141">
        <f>'P6'!C37</f>
        <v>32216.767</v>
      </c>
      <c r="C34" s="141">
        <f>'P6'!D37</f>
        <v>41937.824</v>
      </c>
      <c r="D34" s="141">
        <f>1500+29.7</f>
        <v>1529.7</v>
      </c>
      <c r="E34" s="141">
        <v>133.15</v>
      </c>
      <c r="F34" s="141">
        <f>82+2778.401</f>
        <v>2860.401</v>
      </c>
      <c r="G34" s="141">
        <v>2986.388</v>
      </c>
      <c r="H34" s="141">
        <v>0</v>
      </c>
      <c r="I34" s="141">
        <v>0</v>
      </c>
      <c r="J34" s="141">
        <v>0</v>
      </c>
      <c r="K34" s="141">
        <v>0</v>
      </c>
      <c r="L34" s="141">
        <f>B34-D34-F34-H34-J34</f>
        <v>27826.665999999997</v>
      </c>
      <c r="M34" s="141">
        <f>C34-K34-I34-G34-E34</f>
        <v>38818.286</v>
      </c>
      <c r="N34" s="89" t="s">
        <v>91</v>
      </c>
      <c r="O34" s="56"/>
      <c r="P34" s="57"/>
    </row>
    <row r="35" spans="1:16" ht="12" customHeight="1">
      <c r="A35" s="25"/>
      <c r="B35" s="141">
        <f>'P6'!C38</f>
        <v>6856.145</v>
      </c>
      <c r="C35" s="141">
        <f>'P6'!D38</f>
        <v>10420.096</v>
      </c>
      <c r="D35" s="141">
        <v>130</v>
      </c>
      <c r="E35" s="141">
        <v>2183.934</v>
      </c>
      <c r="F35" s="141">
        <v>1362.924</v>
      </c>
      <c r="G35" s="141">
        <v>1434.569</v>
      </c>
      <c r="H35" s="141">
        <v>0</v>
      </c>
      <c r="I35" s="141">
        <v>0</v>
      </c>
      <c r="J35" s="141">
        <v>0</v>
      </c>
      <c r="K35" s="141">
        <v>0</v>
      </c>
      <c r="L35" s="141">
        <f>B35-D35-F35-H35-J35</f>
        <v>5363.2210000000005</v>
      </c>
      <c r="M35" s="141">
        <f>C35-K35-I35-G35-E35</f>
        <v>6801.593</v>
      </c>
      <c r="N35" s="89" t="s">
        <v>92</v>
      </c>
      <c r="O35" s="56"/>
      <c r="P35" s="57"/>
    </row>
    <row r="36" spans="1:16" ht="12" customHeight="1">
      <c r="A36" s="25"/>
      <c r="B36" s="141">
        <f>'P6'!C39</f>
        <v>8719.98</v>
      </c>
      <c r="C36" s="141">
        <f>'P6'!D39</f>
        <v>16710.014</v>
      </c>
      <c r="D36" s="141">
        <v>353.838</v>
      </c>
      <c r="E36" s="141">
        <v>2669.259</v>
      </c>
      <c r="F36" s="141">
        <v>2866.587</v>
      </c>
      <c r="G36" s="141">
        <v>7902.573</v>
      </c>
      <c r="H36" s="141">
        <v>0</v>
      </c>
      <c r="I36" s="141">
        <v>0</v>
      </c>
      <c r="J36" s="141">
        <v>0</v>
      </c>
      <c r="K36" s="141">
        <v>0</v>
      </c>
      <c r="L36" s="141">
        <f>B36-D36-F36-H36-J36</f>
        <v>5499.555</v>
      </c>
      <c r="M36" s="141">
        <f>C36-K36-I36-G36-E36</f>
        <v>6138.181999999999</v>
      </c>
      <c r="N36" s="89" t="s">
        <v>93</v>
      </c>
      <c r="O36" s="56"/>
      <c r="P36" s="57"/>
    </row>
    <row r="37" spans="1:16" s="49" customFormat="1" ht="12" customHeight="1">
      <c r="A37" s="47"/>
      <c r="B37" s="142">
        <f aca="true" t="shared" si="6" ref="B37:M37">SUM(B34:B36)</f>
        <v>47792.89199999999</v>
      </c>
      <c r="C37" s="142">
        <f t="shared" si="6"/>
        <v>69067.934</v>
      </c>
      <c r="D37" s="142">
        <f t="shared" si="6"/>
        <v>2013.538</v>
      </c>
      <c r="E37" s="142">
        <f>SUM(E34:E36)</f>
        <v>4986.343000000001</v>
      </c>
      <c r="F37" s="142">
        <f t="shared" si="6"/>
        <v>7089.912</v>
      </c>
      <c r="G37" s="142">
        <f>SUM(G34:G36)</f>
        <v>12323.53</v>
      </c>
      <c r="H37" s="142">
        <f t="shared" si="6"/>
        <v>0</v>
      </c>
      <c r="I37" s="142">
        <f>SUM(I34:I36)</f>
        <v>0</v>
      </c>
      <c r="J37" s="142">
        <f>SUM(J34:J36)</f>
        <v>0</v>
      </c>
      <c r="K37" s="142">
        <f>SUM(K34:K36)</f>
        <v>0</v>
      </c>
      <c r="L37" s="142">
        <f t="shared" si="6"/>
        <v>38689.441999999995</v>
      </c>
      <c r="M37" s="142">
        <f t="shared" si="6"/>
        <v>51758.061</v>
      </c>
      <c r="N37" s="48" t="s">
        <v>94</v>
      </c>
      <c r="O37" s="58"/>
      <c r="P37" s="57"/>
    </row>
    <row r="38" spans="1:16" ht="12" customHeight="1">
      <c r="A38" s="25"/>
      <c r="B38" s="141">
        <f>'P6'!C41</f>
        <v>53763.374</v>
      </c>
      <c r="C38" s="141">
        <f>'P6'!D41</f>
        <v>52876.377</v>
      </c>
      <c r="D38" s="141">
        <v>478.627</v>
      </c>
      <c r="E38" s="141">
        <f>250+1500</f>
        <v>1750</v>
      </c>
      <c r="F38" s="141">
        <v>3780.545</v>
      </c>
      <c r="G38" s="141">
        <f>585+4285.141</f>
        <v>4870.141</v>
      </c>
      <c r="H38" s="141">
        <v>0</v>
      </c>
      <c r="I38" s="141">
        <f>70.311</f>
        <v>70.311</v>
      </c>
      <c r="J38" s="141">
        <f>6.6+10210.33</f>
        <v>10216.93</v>
      </c>
      <c r="K38" s="141">
        <v>2013.183</v>
      </c>
      <c r="L38" s="141">
        <f>B38-D38-F38-H38-J38</f>
        <v>39287.272000000004</v>
      </c>
      <c r="M38" s="141">
        <f>C38-K38-I38-G38-E38</f>
        <v>44172.742</v>
      </c>
      <c r="N38" s="89" t="s">
        <v>95</v>
      </c>
      <c r="O38" s="56"/>
      <c r="P38" s="57"/>
    </row>
    <row r="39" spans="1:16" ht="12" customHeight="1">
      <c r="A39" s="25"/>
      <c r="B39" s="141">
        <f>'P6'!C42</f>
        <v>40489.485</v>
      </c>
      <c r="C39" s="141">
        <f>'P6'!D42</f>
        <v>30696.52</v>
      </c>
      <c r="D39" s="141">
        <v>0</v>
      </c>
      <c r="E39" s="141">
        <v>0</v>
      </c>
      <c r="F39" s="141">
        <v>3850.046</v>
      </c>
      <c r="G39" s="141">
        <v>3721.183</v>
      </c>
      <c r="H39" s="141">
        <v>6300.535</v>
      </c>
      <c r="I39" s="141">
        <v>158</v>
      </c>
      <c r="J39" s="141">
        <v>14232.212</v>
      </c>
      <c r="K39" s="141">
        <v>2471.493</v>
      </c>
      <c r="L39" s="141">
        <f>B39-D39-F39-H39-J39</f>
        <v>16106.692</v>
      </c>
      <c r="M39" s="141">
        <f>C39-K39-I39-G39-E39</f>
        <v>24345.844</v>
      </c>
      <c r="N39" s="89" t="s">
        <v>96</v>
      </c>
      <c r="O39" s="56"/>
      <c r="P39" s="57"/>
    </row>
    <row r="40" spans="1:16" ht="12" customHeight="1">
      <c r="A40" s="25"/>
      <c r="B40" s="141">
        <f>'P6'!C43</f>
        <v>11199.265000000001</v>
      </c>
      <c r="C40" s="141">
        <f>'P6'!D43</f>
        <v>28161.921000000002</v>
      </c>
      <c r="D40" s="141">
        <v>1407</v>
      </c>
      <c r="E40" s="141">
        <f>6991.521</f>
        <v>6991.521</v>
      </c>
      <c r="F40" s="141">
        <f>80+615.6</f>
        <v>695.6</v>
      </c>
      <c r="G40" s="141">
        <v>1976.105</v>
      </c>
      <c r="H40" s="141">
        <v>0</v>
      </c>
      <c r="I40" s="141">
        <v>0</v>
      </c>
      <c r="J40" s="141">
        <v>0</v>
      </c>
      <c r="K40" s="141">
        <v>0</v>
      </c>
      <c r="L40" s="141">
        <f>B40-D40-F40-H40-J40</f>
        <v>9096.665</v>
      </c>
      <c r="M40" s="141">
        <f>C40-K40-I40-G40-E40</f>
        <v>19194.295000000002</v>
      </c>
      <c r="N40" s="89" t="s">
        <v>97</v>
      </c>
      <c r="O40" s="56"/>
      <c r="P40" s="57"/>
    </row>
    <row r="41" spans="1:16" s="49" customFormat="1" ht="15.75">
      <c r="A41" s="47"/>
      <c r="B41" s="143">
        <f aca="true" t="shared" si="7" ref="B41:M41">SUM(B38:B40)</f>
        <v>105452.124</v>
      </c>
      <c r="C41" s="143">
        <f>SUM(C38:C40)</f>
        <v>111734.818</v>
      </c>
      <c r="D41" s="143">
        <f t="shared" si="7"/>
        <v>1885.627</v>
      </c>
      <c r="E41" s="143">
        <f>SUM(E38:E40)</f>
        <v>8741.521</v>
      </c>
      <c r="F41" s="143">
        <f t="shared" si="7"/>
        <v>8326.191</v>
      </c>
      <c r="G41" s="143">
        <f>SUM(G38:G40)</f>
        <v>10567.429</v>
      </c>
      <c r="H41" s="143">
        <f t="shared" si="7"/>
        <v>6300.535</v>
      </c>
      <c r="I41" s="143">
        <f>SUM(I38:I40)</f>
        <v>228.311</v>
      </c>
      <c r="J41" s="143">
        <f t="shared" si="7"/>
        <v>24449.142</v>
      </c>
      <c r="K41" s="143">
        <f>SUM(K38:K40)</f>
        <v>4484.6759999999995</v>
      </c>
      <c r="L41" s="143">
        <f t="shared" si="7"/>
        <v>64490.62900000001</v>
      </c>
      <c r="M41" s="143">
        <f t="shared" si="7"/>
        <v>87712.881</v>
      </c>
      <c r="N41" s="14" t="s">
        <v>98</v>
      </c>
      <c r="O41" s="58"/>
      <c r="P41" s="57"/>
    </row>
    <row r="42" spans="1:16" s="49" customFormat="1" ht="15.75">
      <c r="A42" s="47"/>
      <c r="B42" s="142">
        <f aca="true" t="shared" si="8" ref="B42:M42">B41+B37+B33+B28+B24+B19</f>
        <v>1218551.8800000001</v>
      </c>
      <c r="C42" s="142">
        <f t="shared" si="8"/>
        <v>1200820.27</v>
      </c>
      <c r="D42" s="142">
        <f t="shared" si="8"/>
        <v>70784.938</v>
      </c>
      <c r="E42" s="142">
        <f>E41+E37+E33+E28+E24+E19</f>
        <v>171912.989</v>
      </c>
      <c r="F42" s="142">
        <f t="shared" si="8"/>
        <v>138450.611</v>
      </c>
      <c r="G42" s="142">
        <f>G41+G37+G33+G28+G24+G19</f>
        <v>143316.28399999999</v>
      </c>
      <c r="H42" s="142">
        <f t="shared" si="8"/>
        <v>35606.901</v>
      </c>
      <c r="I42" s="142">
        <f>I41+I37+I33+I28+I24+I19</f>
        <v>25016.907</v>
      </c>
      <c r="J42" s="142">
        <f t="shared" si="8"/>
        <v>109365.774</v>
      </c>
      <c r="K42" s="142">
        <f>K41+K37+K33+K28+K24+K19</f>
        <v>63203.484</v>
      </c>
      <c r="L42" s="142">
        <f t="shared" si="8"/>
        <v>864343.656</v>
      </c>
      <c r="M42" s="142">
        <f t="shared" si="8"/>
        <v>797370.6059999999</v>
      </c>
      <c r="N42" s="48" t="s">
        <v>20</v>
      </c>
      <c r="O42" s="58"/>
      <c r="P42" s="57"/>
    </row>
    <row r="43" spans="1:16" s="52" customFormat="1" ht="18.75" customHeight="1">
      <c r="A43" s="51"/>
      <c r="B43" s="146">
        <f>D43+F43+H43+J43+L43</f>
        <v>0.9999999999999998</v>
      </c>
      <c r="C43" s="146">
        <f>E43+G43+I43+K43+M43</f>
        <v>0.9999999999999998</v>
      </c>
      <c r="D43" s="146">
        <f>D42/$B$42</f>
        <v>0.05808939213979136</v>
      </c>
      <c r="E43" s="146">
        <f>E42/$C$42</f>
        <v>0.14316296392964786</v>
      </c>
      <c r="F43" s="146">
        <f>F42/$B$42</f>
        <v>0.113618971233297</v>
      </c>
      <c r="G43" s="146">
        <f>G42/$C$42</f>
        <v>0.11934865489903829</v>
      </c>
      <c r="H43" s="146">
        <f>H42/$B$42</f>
        <v>0.029220668881164088</v>
      </c>
      <c r="I43" s="146">
        <f>I42/$C$42</f>
        <v>0.020833181804967366</v>
      </c>
      <c r="J43" s="146">
        <f>J42/$B$42</f>
        <v>0.08975060955139637</v>
      </c>
      <c r="K43" s="146">
        <f>K42/$C$42</f>
        <v>0.05263359186966422</v>
      </c>
      <c r="L43" s="146">
        <f>L42/$B$42</f>
        <v>0.709320358194351</v>
      </c>
      <c r="M43" s="146">
        <f>M42/$C$42</f>
        <v>0.6640216074966822</v>
      </c>
      <c r="N43" s="50" t="s">
        <v>1</v>
      </c>
      <c r="O43" s="58"/>
      <c r="P43" s="57"/>
    </row>
    <row r="44" spans="1:16" ht="45" customHeight="1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36"/>
      <c r="P44" s="26"/>
    </row>
    <row r="45" spans="1:16" ht="9" customHeight="1" hidden="1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36"/>
      <c r="P45" s="26"/>
    </row>
    <row r="46" spans="1:16" ht="9" customHeight="1" hidden="1">
      <c r="A46" s="59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1"/>
      <c r="P46" s="26"/>
    </row>
    <row r="47" spans="6:10" ht="13.5" customHeight="1">
      <c r="F47" s="26"/>
      <c r="G47" s="26"/>
      <c r="H47" s="26"/>
      <c r="I47" s="26"/>
      <c r="J47" s="26"/>
    </row>
  </sheetData>
  <sheetProtection/>
  <mergeCells count="16">
    <mergeCell ref="B9:C10"/>
    <mergeCell ref="D9:E10"/>
    <mergeCell ref="N9:N11"/>
    <mergeCell ref="F9:G10"/>
    <mergeCell ref="H9:I10"/>
    <mergeCell ref="J9:K10"/>
    <mergeCell ref="L9:M10"/>
    <mergeCell ref="M8:N8"/>
    <mergeCell ref="B6:N6"/>
    <mergeCell ref="B7:N7"/>
    <mergeCell ref="A2:C2"/>
    <mergeCell ref="M2:N2"/>
    <mergeCell ref="A3:C3"/>
    <mergeCell ref="B5:N5"/>
    <mergeCell ref="B8:C8"/>
    <mergeCell ref="L3:N3"/>
  </mergeCells>
  <printOptions verticalCentered="1"/>
  <pageMargins left="0.2755905511811024" right="0.2362204724409449" top="0" bottom="0" header="0" footer="0.2755905511811024"/>
  <pageSetup fitToHeight="1" fitToWidth="1" horizontalDpi="600" verticalDpi="600" orientation="landscape" paperSize="9" scale="90" r:id="rId2"/>
  <headerFooter alignWithMargins="0">
    <oddFooter>&amp;C- 7-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view="pageBreakPreview" zoomScale="98" zoomScaleNormal="75" zoomScaleSheetLayoutView="98" zoomScalePageLayoutView="0" workbookViewId="0" topLeftCell="B31">
      <selection activeCell="C11" sqref="C11:D11"/>
    </sheetView>
  </sheetViews>
  <sheetFormatPr defaultColWidth="9.140625" defaultRowHeight="12.75"/>
  <cols>
    <col min="1" max="1" width="14.140625" style="167" customWidth="1"/>
    <col min="2" max="2" width="12.7109375" style="167" customWidth="1"/>
    <col min="3" max="3" width="13.140625" style="167" bestFit="1" customWidth="1"/>
    <col min="4" max="4" width="12.8515625" style="167" bestFit="1" customWidth="1"/>
    <col min="5" max="5" width="14.421875" style="167" bestFit="1" customWidth="1"/>
    <col min="6" max="6" width="12.7109375" style="167" bestFit="1" customWidth="1"/>
    <col min="7" max="7" width="11.8515625" style="167" customWidth="1"/>
    <col min="8" max="8" width="12.57421875" style="167" customWidth="1"/>
    <col min="9" max="10" width="10.7109375" style="167" customWidth="1"/>
    <col min="11" max="11" width="18.28125" style="167" customWidth="1"/>
    <col min="12" max="12" width="18.7109375" style="167" customWidth="1"/>
    <col min="13" max="16384" width="9.140625" style="167" customWidth="1"/>
  </cols>
  <sheetData>
    <row r="1" spans="1:12" ht="18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8.75">
      <c r="A2" s="101"/>
      <c r="B2" s="101"/>
      <c r="C2" s="101"/>
      <c r="D2" s="101"/>
      <c r="E2" s="101"/>
      <c r="F2" s="101"/>
      <c r="G2" s="100"/>
      <c r="H2" s="100"/>
      <c r="I2" s="100"/>
      <c r="J2" s="100"/>
      <c r="K2" s="100"/>
      <c r="L2" s="100"/>
    </row>
    <row r="3" spans="1:12" ht="18.75">
      <c r="A3" s="168"/>
      <c r="B3" s="100"/>
      <c r="C3" s="399" t="s">
        <v>24</v>
      </c>
      <c r="D3" s="399"/>
      <c r="E3" s="100"/>
      <c r="F3" s="100"/>
      <c r="G3" s="100"/>
      <c r="H3" s="100"/>
      <c r="I3" s="100"/>
      <c r="J3" s="353" t="s">
        <v>16</v>
      </c>
      <c r="K3" s="353"/>
      <c r="L3" s="101"/>
    </row>
    <row r="4" spans="1:12" ht="18.75">
      <c r="A4" s="168"/>
      <c r="B4" s="100"/>
      <c r="C4" s="399" t="s">
        <v>21</v>
      </c>
      <c r="D4" s="399"/>
      <c r="E4" s="100"/>
      <c r="F4" s="100"/>
      <c r="G4" s="100"/>
      <c r="H4" s="100"/>
      <c r="I4" s="353" t="s">
        <v>130</v>
      </c>
      <c r="J4" s="353"/>
      <c r="K4" s="353"/>
      <c r="L4" s="101"/>
    </row>
    <row r="5" spans="1:12" ht="18.75">
      <c r="A5" s="168"/>
      <c r="B5" s="100"/>
      <c r="C5" s="100"/>
      <c r="D5" s="100"/>
      <c r="E5" s="100"/>
      <c r="F5" s="100"/>
      <c r="G5" s="100"/>
      <c r="H5" s="100"/>
      <c r="I5" s="169"/>
      <c r="J5" s="100"/>
      <c r="K5" s="100"/>
      <c r="L5" s="101"/>
    </row>
    <row r="6" spans="1:12" ht="18.7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spans="1:12" ht="25.5">
      <c r="A7" s="101"/>
      <c r="B7" s="189"/>
      <c r="C7" s="362" t="s">
        <v>120</v>
      </c>
      <c r="D7" s="362"/>
      <c r="E7" s="362"/>
      <c r="F7" s="362"/>
      <c r="G7" s="362"/>
      <c r="H7" s="362"/>
      <c r="I7" s="362"/>
      <c r="J7" s="362"/>
      <c r="K7" s="362"/>
      <c r="L7" s="101"/>
    </row>
    <row r="8" spans="1:12" ht="25.5">
      <c r="A8" s="101"/>
      <c r="B8" s="189"/>
      <c r="C8" s="362" t="s">
        <v>121</v>
      </c>
      <c r="D8" s="362"/>
      <c r="E8" s="362"/>
      <c r="F8" s="362"/>
      <c r="G8" s="362"/>
      <c r="H8" s="362"/>
      <c r="I8" s="362"/>
      <c r="J8" s="362"/>
      <c r="K8" s="362"/>
      <c r="L8" s="170"/>
    </row>
    <row r="9" spans="1:12" ht="25.5">
      <c r="A9" s="101"/>
      <c r="B9" s="189"/>
      <c r="C9" s="362" t="s">
        <v>142</v>
      </c>
      <c r="D9" s="362"/>
      <c r="E9" s="362"/>
      <c r="F9" s="362"/>
      <c r="G9" s="362"/>
      <c r="H9" s="362"/>
      <c r="I9" s="362"/>
      <c r="J9" s="362"/>
      <c r="K9" s="362"/>
      <c r="L9" s="101"/>
    </row>
    <row r="10" spans="1:12" ht="19.5" thickBot="1">
      <c r="A10" s="101"/>
      <c r="B10" s="171"/>
      <c r="C10" s="288" t="s">
        <v>145</v>
      </c>
      <c r="D10" s="288"/>
      <c r="E10" s="171"/>
      <c r="F10" s="171"/>
      <c r="G10" s="171"/>
      <c r="H10" s="171"/>
      <c r="I10" s="171"/>
      <c r="J10" s="171"/>
      <c r="K10" s="171"/>
      <c r="L10" s="101"/>
    </row>
    <row r="11" spans="1:12" ht="18.75">
      <c r="A11" s="101"/>
      <c r="C11" s="388" t="s">
        <v>115</v>
      </c>
      <c r="D11" s="355"/>
      <c r="E11" s="354" t="s">
        <v>57</v>
      </c>
      <c r="F11" s="355"/>
      <c r="G11" s="354" t="s">
        <v>67</v>
      </c>
      <c r="H11" s="355"/>
      <c r="I11" s="354" t="s">
        <v>43</v>
      </c>
      <c r="J11" s="355"/>
      <c r="K11" s="390" t="s">
        <v>56</v>
      </c>
      <c r="L11" s="170"/>
    </row>
    <row r="12" spans="1:12" ht="19.5" thickBot="1">
      <c r="A12" s="101"/>
      <c r="C12" s="389"/>
      <c r="D12" s="357"/>
      <c r="E12" s="356" t="s">
        <v>114</v>
      </c>
      <c r="F12" s="357"/>
      <c r="G12" s="356" t="s">
        <v>114</v>
      </c>
      <c r="H12" s="357"/>
      <c r="I12" s="356"/>
      <c r="J12" s="357"/>
      <c r="K12" s="391"/>
      <c r="L12" s="100"/>
    </row>
    <row r="13" spans="1:12" ht="18.75">
      <c r="A13" s="101"/>
      <c r="C13" s="363"/>
      <c r="D13" s="364"/>
      <c r="E13" s="360"/>
      <c r="F13" s="361"/>
      <c r="G13" s="360"/>
      <c r="H13" s="361"/>
      <c r="I13" s="360"/>
      <c r="J13" s="361"/>
      <c r="K13" s="194">
        <v>2021</v>
      </c>
      <c r="L13" s="171"/>
    </row>
    <row r="14" spans="1:12" ht="20.25">
      <c r="A14" s="101"/>
      <c r="C14" s="392">
        <v>89.8127</v>
      </c>
      <c r="D14" s="359"/>
      <c r="E14" s="358">
        <v>2190</v>
      </c>
      <c r="F14" s="359"/>
      <c r="G14" s="358">
        <v>2134.787</v>
      </c>
      <c r="H14" s="359"/>
      <c r="I14" s="358">
        <v>13</v>
      </c>
      <c r="J14" s="359"/>
      <c r="K14" s="191" t="s">
        <v>116</v>
      </c>
      <c r="L14" s="171"/>
    </row>
    <row r="15" spans="1:12" ht="20.25">
      <c r="A15" s="101"/>
      <c r="C15" s="392">
        <v>387.098</v>
      </c>
      <c r="D15" s="359"/>
      <c r="E15" s="358">
        <v>5694.34</v>
      </c>
      <c r="F15" s="359"/>
      <c r="G15" s="358">
        <v>3654.811</v>
      </c>
      <c r="H15" s="359"/>
      <c r="I15" s="358">
        <v>37</v>
      </c>
      <c r="J15" s="359"/>
      <c r="K15" s="191" t="s">
        <v>117</v>
      </c>
      <c r="L15" s="172"/>
    </row>
    <row r="16" spans="1:12" ht="20.25">
      <c r="A16" s="101"/>
      <c r="C16" s="392">
        <v>40.86</v>
      </c>
      <c r="D16" s="359"/>
      <c r="E16" s="358">
        <v>149.9</v>
      </c>
      <c r="F16" s="359"/>
      <c r="G16" s="358">
        <v>85.806</v>
      </c>
      <c r="H16" s="359"/>
      <c r="I16" s="358">
        <v>1</v>
      </c>
      <c r="J16" s="359"/>
      <c r="K16" s="191" t="s">
        <v>118</v>
      </c>
      <c r="L16" s="172"/>
    </row>
    <row r="17" spans="1:12" ht="20.25">
      <c r="A17" s="101"/>
      <c r="C17" s="397">
        <f>SUM(C14:D16)</f>
        <v>517.7707</v>
      </c>
      <c r="D17" s="394"/>
      <c r="E17" s="393">
        <f>SUM(E14:F16)</f>
        <v>8034.24</v>
      </c>
      <c r="F17" s="394"/>
      <c r="G17" s="393">
        <f>SUM(G14:H16)</f>
        <v>5875.4039999999995</v>
      </c>
      <c r="H17" s="394"/>
      <c r="I17" s="393">
        <f>SUM(I14:J16)</f>
        <v>51</v>
      </c>
      <c r="J17" s="394"/>
      <c r="K17" s="192" t="s">
        <v>22</v>
      </c>
      <c r="L17" s="172"/>
    </row>
    <row r="18" spans="1:12" ht="20.25">
      <c r="A18" s="101"/>
      <c r="C18" s="392"/>
      <c r="D18" s="359"/>
      <c r="E18" s="358"/>
      <c r="F18" s="359"/>
      <c r="G18" s="358"/>
      <c r="H18" s="359"/>
      <c r="I18" s="358"/>
      <c r="J18" s="359"/>
      <c r="K18" s="190">
        <v>2022</v>
      </c>
      <c r="L18" s="101"/>
    </row>
    <row r="19" spans="1:12" ht="20.25">
      <c r="A19" s="101"/>
      <c r="C19" s="392">
        <v>109.7215</v>
      </c>
      <c r="D19" s="359"/>
      <c r="E19" s="358">
        <v>2255.36</v>
      </c>
      <c r="F19" s="359"/>
      <c r="G19" s="358">
        <v>2150.879</v>
      </c>
      <c r="H19" s="359"/>
      <c r="I19" s="358">
        <v>12</v>
      </c>
      <c r="J19" s="359"/>
      <c r="K19" s="191" t="s">
        <v>116</v>
      </c>
      <c r="L19" s="101"/>
    </row>
    <row r="20" spans="1:12" ht="20.25">
      <c r="A20" s="169"/>
      <c r="C20" s="392">
        <v>234.5616</v>
      </c>
      <c r="D20" s="359"/>
      <c r="E20" s="358">
        <v>3886.55</v>
      </c>
      <c r="F20" s="359"/>
      <c r="G20" s="358">
        <v>2551.8</v>
      </c>
      <c r="H20" s="359"/>
      <c r="I20" s="358">
        <v>26</v>
      </c>
      <c r="J20" s="359"/>
      <c r="K20" s="191" t="s">
        <v>117</v>
      </c>
      <c r="L20" s="101"/>
    </row>
    <row r="21" spans="1:12" ht="20.25">
      <c r="A21" s="101"/>
      <c r="C21" s="392">
        <v>29.8708</v>
      </c>
      <c r="D21" s="359"/>
      <c r="E21" s="358">
        <v>350.1</v>
      </c>
      <c r="F21" s="359"/>
      <c r="G21" s="358">
        <v>327.483</v>
      </c>
      <c r="H21" s="359"/>
      <c r="I21" s="358">
        <v>3</v>
      </c>
      <c r="J21" s="359"/>
      <c r="K21" s="191" t="s">
        <v>118</v>
      </c>
      <c r="L21" s="101"/>
    </row>
    <row r="22" spans="1:12" s="173" customFormat="1" ht="20.25">
      <c r="A22" s="169"/>
      <c r="C22" s="397">
        <f>SUM(C19:D21)</f>
        <v>374.15389999999996</v>
      </c>
      <c r="D22" s="394"/>
      <c r="E22" s="393">
        <f>SUM(E19:F21)</f>
        <v>6492.01</v>
      </c>
      <c r="F22" s="394"/>
      <c r="G22" s="393">
        <f>SUM(G19:H21)</f>
        <v>5030.162</v>
      </c>
      <c r="H22" s="394"/>
      <c r="I22" s="393">
        <f>SUM(I19:J21)</f>
        <v>41</v>
      </c>
      <c r="J22" s="394"/>
      <c r="K22" s="192" t="s">
        <v>22</v>
      </c>
      <c r="L22" s="169"/>
    </row>
    <row r="23" spans="1:12" ht="20.25">
      <c r="A23" s="101"/>
      <c r="C23" s="398"/>
      <c r="D23" s="396"/>
      <c r="E23" s="395"/>
      <c r="F23" s="396"/>
      <c r="G23" s="395"/>
      <c r="H23" s="396"/>
      <c r="I23" s="395"/>
      <c r="J23" s="396"/>
      <c r="K23" s="192" t="s">
        <v>119</v>
      </c>
      <c r="L23" s="101"/>
    </row>
    <row r="24" spans="1:12" ht="20.25">
      <c r="A24" s="101"/>
      <c r="C24" s="365">
        <f>(C19-C14)/C14</f>
        <v>0.22167020922430788</v>
      </c>
      <c r="D24" s="366"/>
      <c r="E24" s="365">
        <f>(E19-E14)/E14</f>
        <v>0.029844748858447546</v>
      </c>
      <c r="F24" s="366"/>
      <c r="G24" s="365">
        <f>(G19-G14)/G14</f>
        <v>0.007537988567477739</v>
      </c>
      <c r="H24" s="366"/>
      <c r="I24" s="365">
        <f>(I19-I14)/I14</f>
        <v>-0.07692307692307693</v>
      </c>
      <c r="J24" s="366"/>
      <c r="K24" s="191" t="s">
        <v>116</v>
      </c>
      <c r="L24" s="101"/>
    </row>
    <row r="25" spans="1:12" ht="20.25">
      <c r="A25" s="101"/>
      <c r="C25" s="365">
        <f>(C20-C15)/C15</f>
        <v>-0.3940511188381237</v>
      </c>
      <c r="D25" s="366"/>
      <c r="E25" s="365">
        <f>(E20-E15)/E15</f>
        <v>-0.3174713838653821</v>
      </c>
      <c r="F25" s="366"/>
      <c r="G25" s="365">
        <f>(G20-G15)/G15</f>
        <v>-0.3017970012676442</v>
      </c>
      <c r="H25" s="366"/>
      <c r="I25" s="365">
        <f>(I20-I15)/I15</f>
        <v>-0.2972972972972973</v>
      </c>
      <c r="J25" s="366"/>
      <c r="K25" s="191" t="s">
        <v>117</v>
      </c>
      <c r="L25" s="169"/>
    </row>
    <row r="26" spans="1:12" ht="20.25">
      <c r="A26" s="101"/>
      <c r="C26" s="365">
        <f>(C21-C16)/C16</f>
        <v>-0.26894762604013706</v>
      </c>
      <c r="D26" s="366"/>
      <c r="E26" s="365">
        <f>(E21-E16)/E16</f>
        <v>1.3355570380253503</v>
      </c>
      <c r="F26" s="366"/>
      <c r="G26" s="365">
        <f>(G21-G16)/G16</f>
        <v>2.8165512901195724</v>
      </c>
      <c r="H26" s="366"/>
      <c r="I26" s="365">
        <f>(I21-I16)/I16</f>
        <v>2</v>
      </c>
      <c r="J26" s="366"/>
      <c r="K26" s="191" t="s">
        <v>118</v>
      </c>
      <c r="L26" s="101"/>
    </row>
    <row r="27" spans="1:12" s="173" customFormat="1" ht="21" thickBot="1">
      <c r="A27" s="169"/>
      <c r="C27" s="372">
        <f>(C22-C17)/C17</f>
        <v>-0.2773752937352385</v>
      </c>
      <c r="D27" s="373"/>
      <c r="E27" s="372">
        <f>(E22-E17)/E17</f>
        <v>-0.1919571732982833</v>
      </c>
      <c r="F27" s="373"/>
      <c r="G27" s="372">
        <f>(G22-G17)/G17</f>
        <v>-0.14386108597808753</v>
      </c>
      <c r="H27" s="373"/>
      <c r="I27" s="372">
        <f>(I22-I17)/I17</f>
        <v>-0.19607843137254902</v>
      </c>
      <c r="J27" s="373"/>
      <c r="K27" s="193" t="s">
        <v>22</v>
      </c>
      <c r="L27" s="169"/>
    </row>
    <row r="28" spans="1:12" ht="18.75">
      <c r="A28" s="101"/>
      <c r="B28" s="174"/>
      <c r="C28" s="174"/>
      <c r="D28" s="174"/>
      <c r="E28" s="174"/>
      <c r="F28" s="174"/>
      <c r="G28" s="174"/>
      <c r="H28" s="174"/>
      <c r="I28" s="174"/>
      <c r="J28" s="174"/>
      <c r="L28" s="101"/>
    </row>
    <row r="29" spans="1:12" ht="18.75">
      <c r="A29" s="101"/>
      <c r="B29" s="174"/>
      <c r="C29" s="174"/>
      <c r="D29" s="174"/>
      <c r="E29" s="174"/>
      <c r="F29" s="174"/>
      <c r="G29" s="174"/>
      <c r="H29" s="174"/>
      <c r="I29" s="174"/>
      <c r="J29" s="174"/>
      <c r="K29" s="100"/>
      <c r="L29" s="101"/>
    </row>
    <row r="30" spans="1:12" ht="25.5">
      <c r="A30" s="101"/>
      <c r="B30" s="367" t="s">
        <v>100</v>
      </c>
      <c r="C30" s="367"/>
      <c r="D30" s="367"/>
      <c r="E30" s="367"/>
      <c r="F30" s="367"/>
      <c r="G30" s="367"/>
      <c r="H30" s="367"/>
      <c r="I30" s="367"/>
      <c r="J30" s="367"/>
      <c r="K30" s="367"/>
      <c r="L30" s="101"/>
    </row>
    <row r="31" spans="1:12" ht="25.5">
      <c r="A31" s="101"/>
      <c r="B31" s="367" t="s">
        <v>113</v>
      </c>
      <c r="C31" s="367"/>
      <c r="D31" s="367"/>
      <c r="E31" s="367"/>
      <c r="F31" s="367"/>
      <c r="G31" s="367"/>
      <c r="H31" s="367"/>
      <c r="I31" s="367"/>
      <c r="J31" s="367"/>
      <c r="K31" s="367"/>
      <c r="L31" s="101"/>
    </row>
    <row r="32" spans="1:12" ht="25.5">
      <c r="A32" s="101"/>
      <c r="B32" s="367" t="s">
        <v>142</v>
      </c>
      <c r="C32" s="367"/>
      <c r="D32" s="367"/>
      <c r="E32" s="367"/>
      <c r="F32" s="367"/>
      <c r="G32" s="367"/>
      <c r="H32" s="367"/>
      <c r="I32" s="367"/>
      <c r="J32" s="367"/>
      <c r="K32" s="367"/>
      <c r="L32" s="101"/>
    </row>
    <row r="33" spans="1:12" ht="18.75">
      <c r="A33" s="168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1"/>
    </row>
    <row r="34" spans="1:12" ht="19.5" thickBot="1">
      <c r="A34" s="168"/>
      <c r="B34" s="288" t="s">
        <v>145</v>
      </c>
      <c r="C34" s="288"/>
      <c r="D34" s="236"/>
      <c r="E34" s="100"/>
      <c r="F34" s="100"/>
      <c r="G34" s="100"/>
      <c r="H34" s="101"/>
      <c r="I34" s="101"/>
      <c r="J34" s="293" t="s">
        <v>68</v>
      </c>
      <c r="K34" s="293"/>
      <c r="L34" s="101"/>
    </row>
    <row r="35" spans="1:12" ht="24.75" customHeight="1">
      <c r="A35" s="168"/>
      <c r="B35" s="368" t="s">
        <v>101</v>
      </c>
      <c r="C35" s="369"/>
      <c r="D35" s="370"/>
      <c r="E35" s="371" t="s">
        <v>37</v>
      </c>
      <c r="F35" s="369"/>
      <c r="G35" s="370"/>
      <c r="H35" s="371" t="s">
        <v>102</v>
      </c>
      <c r="I35" s="369"/>
      <c r="J35" s="370"/>
      <c r="K35" s="197" t="s">
        <v>103</v>
      </c>
      <c r="L35" s="101"/>
    </row>
    <row r="36" spans="1:12" s="177" customFormat="1" ht="24.75" customHeight="1" thickBot="1">
      <c r="A36" s="175"/>
      <c r="B36" s="198" t="s">
        <v>39</v>
      </c>
      <c r="C36" s="199">
        <v>2022</v>
      </c>
      <c r="D36" s="199">
        <v>2021</v>
      </c>
      <c r="E36" s="199" t="s">
        <v>39</v>
      </c>
      <c r="F36" s="199">
        <v>2022</v>
      </c>
      <c r="G36" s="199">
        <v>2021</v>
      </c>
      <c r="H36" s="199" t="s">
        <v>39</v>
      </c>
      <c r="I36" s="199">
        <v>2022</v>
      </c>
      <c r="J36" s="199">
        <v>2021</v>
      </c>
      <c r="K36" s="200"/>
      <c r="L36" s="176"/>
    </row>
    <row r="37" spans="1:12" ht="24.75" customHeight="1">
      <c r="A37" s="168"/>
      <c r="B37" s="234">
        <f>(C37-D37)/D37</f>
        <v>-0.8431372549019608</v>
      </c>
      <c r="C37" s="195">
        <v>8</v>
      </c>
      <c r="D37" s="195">
        <v>51</v>
      </c>
      <c r="E37" s="234">
        <f>(F37-G37)/G37</f>
        <v>-0.7865735029927726</v>
      </c>
      <c r="F37" s="196">
        <v>2578</v>
      </c>
      <c r="G37" s="196">
        <v>12079.1</v>
      </c>
      <c r="H37" s="234">
        <f>(I37-J37)/J37</f>
        <v>-0.8</v>
      </c>
      <c r="I37" s="195">
        <v>1</v>
      </c>
      <c r="J37" s="195">
        <v>5</v>
      </c>
      <c r="K37" s="195" t="s">
        <v>104</v>
      </c>
      <c r="L37" s="101"/>
    </row>
    <row r="38" spans="1:12" ht="24.75" customHeight="1">
      <c r="A38" s="168"/>
      <c r="B38" s="234">
        <f>(C38-D38)/D38</f>
        <v>-0.5714285714285714</v>
      </c>
      <c r="C38" s="178">
        <f>C39-C37</f>
        <v>6</v>
      </c>
      <c r="D38" s="178">
        <f>D39-D37</f>
        <v>14</v>
      </c>
      <c r="E38" s="234">
        <f>(F38-G38)/G38</f>
        <v>-0.6300403592335382</v>
      </c>
      <c r="F38" s="179">
        <f>F39-F37</f>
        <v>2035</v>
      </c>
      <c r="G38" s="179">
        <f>G39-G37</f>
        <v>5500.6</v>
      </c>
      <c r="H38" s="234">
        <f>(I38-J38)/J38</f>
        <v>0</v>
      </c>
      <c r="I38" s="178">
        <f>I39-I37</f>
        <v>2</v>
      </c>
      <c r="J38" s="178">
        <f>J39-J37</f>
        <v>2</v>
      </c>
      <c r="K38" s="178" t="s">
        <v>105</v>
      </c>
      <c r="L38" s="101"/>
    </row>
    <row r="39" spans="1:12" ht="24.75" customHeight="1">
      <c r="A39" s="168"/>
      <c r="B39" s="234">
        <f>(C39-D39)/D39</f>
        <v>-0.7846153846153846</v>
      </c>
      <c r="C39" s="180">
        <f>'P2'!C47</f>
        <v>14</v>
      </c>
      <c r="D39" s="180">
        <f>'P2'!D47</f>
        <v>65</v>
      </c>
      <c r="E39" s="234">
        <f>(F39-G39)/G39</f>
        <v>-0.737595067037549</v>
      </c>
      <c r="F39" s="181">
        <f>'P2'!F47</f>
        <v>4613</v>
      </c>
      <c r="G39" s="181">
        <f>'P2'!G47</f>
        <v>17579.7</v>
      </c>
      <c r="H39" s="234">
        <f>(I39-J39)/J39</f>
        <v>-0.5714285714285714</v>
      </c>
      <c r="I39" s="180">
        <f>'P2'!I47</f>
        <v>3</v>
      </c>
      <c r="J39" s="180">
        <f>'P2'!J47</f>
        <v>7</v>
      </c>
      <c r="K39" s="180" t="s">
        <v>22</v>
      </c>
      <c r="L39" s="101"/>
    </row>
    <row r="40" spans="1:12" ht="18.75">
      <c r="A40" s="182"/>
      <c r="B40" s="169"/>
      <c r="C40" s="169"/>
      <c r="D40" s="169"/>
      <c r="E40" s="182"/>
      <c r="F40" s="169"/>
      <c r="G40" s="169"/>
      <c r="H40" s="182"/>
      <c r="I40" s="169"/>
      <c r="J40" s="169"/>
      <c r="K40" s="169"/>
      <c r="L40" s="101"/>
    </row>
    <row r="41" spans="1:12" ht="18.75">
      <c r="A41" s="182"/>
      <c r="B41" s="169"/>
      <c r="C41" s="169"/>
      <c r="D41" s="169"/>
      <c r="E41" s="182"/>
      <c r="F41" s="169"/>
      <c r="G41" s="169"/>
      <c r="H41" s="182"/>
      <c r="I41" s="169"/>
      <c r="J41" s="169"/>
      <c r="K41" s="169"/>
      <c r="L41" s="101"/>
    </row>
    <row r="42" spans="1:12" ht="18.75">
      <c r="A42" s="182"/>
      <c r="B42" s="169"/>
      <c r="C42" s="169"/>
      <c r="D42" s="169"/>
      <c r="E42" s="182"/>
      <c r="F42" s="169"/>
      <c r="G42" s="169"/>
      <c r="H42" s="182"/>
      <c r="I42" s="169"/>
      <c r="J42" s="169"/>
      <c r="K42" s="169"/>
      <c r="L42" s="101"/>
    </row>
    <row r="43" spans="1:12" ht="18.75">
      <c r="A43" s="101"/>
      <c r="B43" s="101"/>
      <c r="C43" s="101"/>
      <c r="D43" s="101"/>
      <c r="E43" s="101"/>
      <c r="F43" s="101"/>
      <c r="G43" s="183"/>
      <c r="H43" s="183"/>
      <c r="I43" s="183"/>
      <c r="J43" s="101"/>
      <c r="K43" s="101"/>
      <c r="L43" s="101"/>
    </row>
    <row r="44" spans="1:12" ht="23.25" customHeight="1">
      <c r="A44" s="101"/>
      <c r="B44" s="100"/>
      <c r="C44" s="367" t="s">
        <v>100</v>
      </c>
      <c r="D44" s="367"/>
      <c r="E44" s="367"/>
      <c r="F44" s="367"/>
      <c r="G44" s="367"/>
      <c r="H44" s="367"/>
      <c r="I44" s="367"/>
      <c r="J44" s="367"/>
      <c r="K44" s="367"/>
      <c r="L44" s="101"/>
    </row>
    <row r="45" spans="1:12" ht="23.25" customHeight="1">
      <c r="A45" s="101"/>
      <c r="B45" s="100"/>
      <c r="C45" s="367" t="s">
        <v>122</v>
      </c>
      <c r="D45" s="367"/>
      <c r="E45" s="367"/>
      <c r="F45" s="367"/>
      <c r="G45" s="367"/>
      <c r="H45" s="367"/>
      <c r="I45" s="367"/>
      <c r="J45" s="367"/>
      <c r="K45" s="367"/>
      <c r="L45" s="101"/>
    </row>
    <row r="46" spans="1:12" ht="25.5">
      <c r="A46" s="168"/>
      <c r="B46" s="100"/>
      <c r="C46" s="367" t="s">
        <v>142</v>
      </c>
      <c r="D46" s="367"/>
      <c r="E46" s="367"/>
      <c r="F46" s="367"/>
      <c r="G46" s="367"/>
      <c r="H46" s="367"/>
      <c r="I46" s="367"/>
      <c r="J46" s="367"/>
      <c r="K46" s="367"/>
      <c r="L46" s="101"/>
    </row>
    <row r="47" spans="1:12" ht="19.5" thickBot="1">
      <c r="A47" s="168"/>
      <c r="B47" s="101"/>
      <c r="C47" s="288" t="s">
        <v>145</v>
      </c>
      <c r="D47" s="288"/>
      <c r="G47" s="101"/>
      <c r="H47" s="101"/>
      <c r="I47" s="101"/>
      <c r="J47" s="387" t="s">
        <v>68</v>
      </c>
      <c r="K47" s="387"/>
      <c r="L47" s="71"/>
    </row>
    <row r="48" spans="1:12" ht="24.75" customHeight="1">
      <c r="A48" s="184"/>
      <c r="B48" s="185"/>
      <c r="C48" s="368" t="s">
        <v>37</v>
      </c>
      <c r="D48" s="369"/>
      <c r="E48" s="370"/>
      <c r="F48" s="371" t="s">
        <v>35</v>
      </c>
      <c r="G48" s="369"/>
      <c r="H48" s="370"/>
      <c r="I48" s="371" t="s">
        <v>103</v>
      </c>
      <c r="J48" s="369"/>
      <c r="K48" s="380"/>
      <c r="L48" s="101"/>
    </row>
    <row r="49" spans="1:12" s="177" customFormat="1" ht="24.75" customHeight="1" thickBot="1">
      <c r="A49" s="186"/>
      <c r="B49" s="187"/>
      <c r="C49" s="198" t="s">
        <v>39</v>
      </c>
      <c r="D49" s="199">
        <v>2022</v>
      </c>
      <c r="E49" s="199">
        <v>2021</v>
      </c>
      <c r="F49" s="199" t="s">
        <v>39</v>
      </c>
      <c r="G49" s="199">
        <v>2022</v>
      </c>
      <c r="H49" s="199">
        <v>2021</v>
      </c>
      <c r="I49" s="381"/>
      <c r="J49" s="382"/>
      <c r="K49" s="383"/>
      <c r="L49" s="176"/>
    </row>
    <row r="50" spans="1:12" ht="24.75" customHeight="1">
      <c r="A50" s="184"/>
      <c r="B50" s="185"/>
      <c r="C50" s="234">
        <f>(D50-E50)/E50</f>
        <v>-0.5441099947964616</v>
      </c>
      <c r="D50" s="267">
        <v>2391.795</v>
      </c>
      <c r="E50" s="267">
        <v>5246.43</v>
      </c>
      <c r="F50" s="234">
        <f>(G50-H50)/H50</f>
        <v>0.25</v>
      </c>
      <c r="G50" s="195">
        <v>5</v>
      </c>
      <c r="H50" s="195">
        <v>4</v>
      </c>
      <c r="I50" s="384" t="s">
        <v>104</v>
      </c>
      <c r="J50" s="385"/>
      <c r="K50" s="386"/>
      <c r="L50" s="101"/>
    </row>
    <row r="51" spans="1:12" ht="24.75" customHeight="1">
      <c r="A51" s="184"/>
      <c r="B51" s="185"/>
      <c r="C51" s="234">
        <f>(D51-E51)/E51</f>
        <v>3.962589447549465</v>
      </c>
      <c r="D51" s="268">
        <f>D52-D50</f>
        <v>6360.138999999999</v>
      </c>
      <c r="E51" s="268">
        <f>E52-E50</f>
        <v>1281.6169999999993</v>
      </c>
      <c r="F51" s="234">
        <f>(G51-H51)/H51</f>
        <v>5</v>
      </c>
      <c r="G51" s="269">
        <f>G52-G50</f>
        <v>12</v>
      </c>
      <c r="H51" s="269">
        <f>H52-H50</f>
        <v>2</v>
      </c>
      <c r="I51" s="374" t="s">
        <v>105</v>
      </c>
      <c r="J51" s="375"/>
      <c r="K51" s="376"/>
      <c r="L51" s="101"/>
    </row>
    <row r="52" spans="1:12" ht="24.75" customHeight="1">
      <c r="A52" s="184"/>
      <c r="B52" s="185"/>
      <c r="C52" s="234">
        <f>(D52-E52)/E52</f>
        <v>0.3406665117453964</v>
      </c>
      <c r="D52" s="270">
        <v>8751.934</v>
      </c>
      <c r="E52" s="270">
        <v>6528.047</v>
      </c>
      <c r="F52" s="234">
        <f>(G52-H52)/H52</f>
        <v>1.8333333333333333</v>
      </c>
      <c r="G52" s="271">
        <v>17</v>
      </c>
      <c r="H52" s="271">
        <v>6</v>
      </c>
      <c r="I52" s="377" t="s">
        <v>22</v>
      </c>
      <c r="J52" s="378"/>
      <c r="K52" s="379"/>
      <c r="L52" s="101"/>
    </row>
    <row r="53" spans="1:12" ht="17.25" customHeight="1">
      <c r="A53" s="184"/>
      <c r="B53" s="184"/>
      <c r="C53" s="184"/>
      <c r="D53" s="184"/>
      <c r="E53" s="182"/>
      <c r="F53" s="188"/>
      <c r="G53" s="188"/>
      <c r="H53" s="182"/>
      <c r="I53" s="169"/>
      <c r="J53" s="169"/>
      <c r="K53" s="169"/>
      <c r="L53" s="101"/>
    </row>
    <row r="54" spans="1:12" ht="18.7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1:12" ht="18.7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</sheetData>
  <sheetProtection/>
  <mergeCells count="94">
    <mergeCell ref="C3:D3"/>
    <mergeCell ref="C4:D4"/>
    <mergeCell ref="C7:K7"/>
    <mergeCell ref="C8:K8"/>
    <mergeCell ref="E20:F20"/>
    <mergeCell ref="C15:D15"/>
    <mergeCell ref="I20:J20"/>
    <mergeCell ref="E15:F15"/>
    <mergeCell ref="C16:D16"/>
    <mergeCell ref="I4:K4"/>
    <mergeCell ref="E26:F26"/>
    <mergeCell ref="E24:F24"/>
    <mergeCell ref="E25:F25"/>
    <mergeCell ref="C26:D26"/>
    <mergeCell ref="C25:D25"/>
    <mergeCell ref="C20:D20"/>
    <mergeCell ref="C22:D22"/>
    <mergeCell ref="C23:D23"/>
    <mergeCell ref="C17:D17"/>
    <mergeCell ref="E17:F17"/>
    <mergeCell ref="E18:F18"/>
    <mergeCell ref="G25:H25"/>
    <mergeCell ref="C18:D18"/>
    <mergeCell ref="G17:H17"/>
    <mergeCell ref="G18:H18"/>
    <mergeCell ref="I24:J24"/>
    <mergeCell ref="G21:H21"/>
    <mergeCell ref="E21:F21"/>
    <mergeCell ref="E23:F23"/>
    <mergeCell ref="C19:D19"/>
    <mergeCell ref="E19:F19"/>
    <mergeCell ref="C24:D24"/>
    <mergeCell ref="C21:D21"/>
    <mergeCell ref="G19:H19"/>
    <mergeCell ref="G20:H20"/>
    <mergeCell ref="E27:F27"/>
    <mergeCell ref="C27:D27"/>
    <mergeCell ref="I27:J27"/>
    <mergeCell ref="G22:H22"/>
    <mergeCell ref="I22:J22"/>
    <mergeCell ref="I23:J23"/>
    <mergeCell ref="G23:H23"/>
    <mergeCell ref="I26:J26"/>
    <mergeCell ref="G26:H26"/>
    <mergeCell ref="E22:F22"/>
    <mergeCell ref="C11:D12"/>
    <mergeCell ref="K11:K12"/>
    <mergeCell ref="C14:D14"/>
    <mergeCell ref="E13:F13"/>
    <mergeCell ref="E14:F14"/>
    <mergeCell ref="I21:J21"/>
    <mergeCell ref="G16:H16"/>
    <mergeCell ref="I17:J17"/>
    <mergeCell ref="I18:J18"/>
    <mergeCell ref="I19:J19"/>
    <mergeCell ref="I51:K51"/>
    <mergeCell ref="I52:K52"/>
    <mergeCell ref="C46:K46"/>
    <mergeCell ref="I48:K49"/>
    <mergeCell ref="C47:D47"/>
    <mergeCell ref="I50:K50"/>
    <mergeCell ref="C48:E48"/>
    <mergeCell ref="F48:H48"/>
    <mergeCell ref="J47:K47"/>
    <mergeCell ref="C44:K44"/>
    <mergeCell ref="C45:K45"/>
    <mergeCell ref="I16:J16"/>
    <mergeCell ref="B32:K32"/>
    <mergeCell ref="B35:D35"/>
    <mergeCell ref="E35:G35"/>
    <mergeCell ref="H35:J35"/>
    <mergeCell ref="B30:K30"/>
    <mergeCell ref="B31:K31"/>
    <mergeCell ref="G27:H27"/>
    <mergeCell ref="B34:C34"/>
    <mergeCell ref="J34:K34"/>
    <mergeCell ref="C13:D13"/>
    <mergeCell ref="I15:J15"/>
    <mergeCell ref="I13:J13"/>
    <mergeCell ref="I14:J14"/>
    <mergeCell ref="G15:H15"/>
    <mergeCell ref="G24:H24"/>
    <mergeCell ref="E16:F16"/>
    <mergeCell ref="I25:J25"/>
    <mergeCell ref="J3:K3"/>
    <mergeCell ref="G11:H11"/>
    <mergeCell ref="I11:J12"/>
    <mergeCell ref="G12:H12"/>
    <mergeCell ref="E12:F12"/>
    <mergeCell ref="G14:H14"/>
    <mergeCell ref="G13:H13"/>
    <mergeCell ref="C9:K9"/>
    <mergeCell ref="C10:D10"/>
    <mergeCell ref="E11:F11"/>
  </mergeCells>
  <printOptions horizontalCentered="1" verticalCentered="1"/>
  <pageMargins left="0.2755905511811024" right="0.35433070866141736" top="0.35433070866141736" bottom="0.1968503937007874" header="0.31496062992125984" footer="0.3937007874015748"/>
  <pageSetup fitToHeight="1" fitToWidth="1" horizontalDpi="600" verticalDpi="600" orientation="portrait" paperSize="9" scale="60" r:id="rId2"/>
  <headerFooter alignWithMargins="0">
    <oddFooter>&amp;L
&amp;C-8 -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APIA</dc:creator>
  <cp:keywords/>
  <dc:description/>
  <cp:lastModifiedBy>Nizar</cp:lastModifiedBy>
  <cp:lastPrinted>2022-12-16T08:38:45Z</cp:lastPrinted>
  <dcterms:created xsi:type="dcterms:W3CDTF">1999-01-22T11:32:37Z</dcterms:created>
  <dcterms:modified xsi:type="dcterms:W3CDTF">2022-12-20T09:44:08Z</dcterms:modified>
  <cp:category/>
  <cp:version/>
  <cp:contentType/>
  <cp:contentStatus/>
</cp:coreProperties>
</file>